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na.Vesele\Downloads\"/>
    </mc:Choice>
  </mc:AlternateContent>
  <xr:revisionPtr revIDLastSave="0" documentId="8_{38CEB5AE-6FAE-4188-8A23-B1BD276363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Sheet1!$B$3:$G$133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L4" i="1"/>
  <c r="L8" i="1"/>
  <c r="L10" i="1"/>
  <c r="L11" i="1"/>
  <c r="L12" i="1"/>
  <c r="K12" i="1"/>
  <c r="L123" i="1"/>
  <c r="H123" i="1"/>
  <c r="I123" i="1"/>
  <c r="I45" i="1"/>
  <c r="L15" i="1"/>
  <c r="H15" i="1"/>
  <c r="I15" i="1"/>
  <c r="L62" i="1"/>
  <c r="H62" i="1"/>
  <c r="I62" i="1"/>
  <c r="L66" i="1"/>
  <c r="H66" i="1"/>
  <c r="I66" i="1"/>
  <c r="L41" i="1"/>
  <c r="L29" i="1"/>
  <c r="H29" i="1"/>
  <c r="I29" i="1"/>
  <c r="I19" i="1"/>
  <c r="L27" i="1"/>
  <c r="H27" i="1"/>
  <c r="I31" i="1"/>
  <c r="L33" i="1"/>
  <c r="L22" i="1"/>
  <c r="H22" i="1"/>
  <c r="I22" i="1"/>
  <c r="L54" i="1"/>
  <c r="H25" i="1"/>
  <c r="I25" i="1"/>
  <c r="H42" i="1"/>
  <c r="I42" i="1"/>
  <c r="I46" i="1"/>
  <c r="L38" i="1"/>
  <c r="I38" i="1"/>
  <c r="L50" i="1"/>
  <c r="I50" i="1"/>
  <c r="L16" i="1" l="1"/>
  <c r="H16" i="1"/>
  <c r="I35" i="1"/>
  <c r="L35" i="1"/>
  <c r="H35" i="1"/>
  <c r="L58" i="1"/>
  <c r="L18" i="1"/>
  <c r="I18" i="1"/>
  <c r="H14" i="1"/>
  <c r="L14" i="1"/>
  <c r="L17" i="1"/>
  <c r="H17" i="1"/>
  <c r="I60" i="1"/>
  <c r="L37" i="1"/>
  <c r="H37" i="1"/>
  <c r="I37" i="1"/>
  <c r="H13" i="1"/>
  <c r="L68" i="1"/>
  <c r="H68" i="1"/>
  <c r="I68" i="1"/>
  <c r="L61" i="1"/>
  <c r="K61" i="1"/>
  <c r="I30" i="1"/>
  <c r="H30" i="1"/>
  <c r="I43" i="1"/>
  <c r="L20" i="1"/>
  <c r="H28" i="1"/>
  <c r="I21" i="1"/>
  <c r="L26" i="1"/>
  <c r="I26" i="1"/>
  <c r="H47" i="1"/>
  <c r="I47" i="1"/>
  <c r="H36" i="1"/>
  <c r="I36" i="1"/>
  <c r="I53" i="1"/>
  <c r="I65" i="1" l="1"/>
  <c r="I39" i="1"/>
  <c r="I52" i="1"/>
  <c r="H48" i="1"/>
  <c r="I48" i="1"/>
  <c r="L55" i="1"/>
  <c r="H55" i="1"/>
  <c r="I55" i="1"/>
  <c r="H67" i="1"/>
  <c r="I67" i="1"/>
  <c r="I34" i="1"/>
  <c r="H34" i="1"/>
  <c r="I51" i="1"/>
  <c r="L51" i="1"/>
  <c r="I49" i="1"/>
  <c r="L64" i="1"/>
  <c r="I57" i="1"/>
  <c r="L63" i="1"/>
  <c r="L59" i="1"/>
  <c r="I59" i="1"/>
  <c r="H115" i="1"/>
  <c r="I115" i="1"/>
  <c r="L77" i="1"/>
  <c r="H77" i="1"/>
  <c r="I77" i="1"/>
  <c r="L83" i="1"/>
  <c r="L74" i="1"/>
  <c r="H74" i="1"/>
  <c r="L103" i="1"/>
  <c r="I103" i="1"/>
  <c r="L82" i="1"/>
  <c r="I82" i="1"/>
  <c r="L75" i="1"/>
  <c r="H75" i="1"/>
  <c r="L89" i="1"/>
  <c r="L91" i="1"/>
  <c r="H91" i="1"/>
  <c r="I91" i="1"/>
  <c r="L84" i="1"/>
  <c r="I84" i="1"/>
  <c r="L85" i="1"/>
  <c r="H85" i="1"/>
  <c r="H86" i="1"/>
  <c r="L86" i="1"/>
  <c r="L94" i="1"/>
  <c r="H94" i="1"/>
  <c r="I94" i="1"/>
  <c r="L72" i="1"/>
  <c r="L93" i="1"/>
  <c r="L76" i="1"/>
  <c r="H73" i="1"/>
  <c r="I73" i="1"/>
  <c r="L78" i="1"/>
  <c r="I78" i="1"/>
  <c r="L70" i="1"/>
  <c r="I70" i="1"/>
  <c r="L71" i="1"/>
  <c r="H71" i="1"/>
  <c r="I71" i="1"/>
  <c r="L92" i="1"/>
  <c r="L104" i="1"/>
  <c r="L102" i="1"/>
  <c r="H102" i="1"/>
  <c r="I102" i="1"/>
  <c r="L114" i="1"/>
  <c r="I114" i="1"/>
  <c r="L111" i="1"/>
  <c r="I111" i="1"/>
  <c r="L98" i="1"/>
  <c r="H98" i="1"/>
  <c r="I98" i="1"/>
  <c r="L79" i="1"/>
  <c r="H79" i="1"/>
  <c r="L101" i="1"/>
  <c r="I101" i="1"/>
  <c r="L99" i="1"/>
  <c r="H99" i="1"/>
  <c r="I99" i="1"/>
  <c r="L81" i="1" l="1"/>
  <c r="I81" i="1"/>
  <c r="L80" i="1"/>
  <c r="I80" i="1"/>
  <c r="I105" i="1"/>
  <c r="L96" i="1"/>
  <c r="H90" i="1"/>
  <c r="L90" i="1"/>
  <c r="I90" i="1"/>
  <c r="L95" i="1"/>
  <c r="I95" i="1"/>
  <c r="L87" i="1"/>
  <c r="I87" i="1"/>
  <c r="H87" i="1"/>
  <c r="L88" i="1"/>
  <c r="H88" i="1"/>
  <c r="I88" i="1"/>
  <c r="L113" i="1"/>
  <c r="H113" i="1"/>
  <c r="I113" i="1"/>
  <c r="L110" i="1"/>
  <c r="I110" i="1"/>
  <c r="L107" i="1"/>
  <c r="H107" i="1"/>
  <c r="I107" i="1"/>
  <c r="H108" i="1" l="1"/>
  <c r="L108" i="1"/>
  <c r="I108" i="1"/>
  <c r="L97" i="1"/>
  <c r="H106" i="1"/>
  <c r="L106" i="1"/>
  <c r="I106" i="1"/>
  <c r="H109" i="1"/>
  <c r="I109" i="1"/>
  <c r="L109" i="1"/>
  <c r="I116" i="1"/>
  <c r="L116" i="1"/>
  <c r="I117" i="1"/>
  <c r="L117" i="1"/>
  <c r="L119" i="1"/>
  <c r="L120" i="1" l="1"/>
  <c r="L121" i="1"/>
  <c r="I121" i="1"/>
  <c r="L122" i="1"/>
  <c r="L124" i="1"/>
  <c r="I125" i="1" l="1"/>
  <c r="L125" i="1"/>
  <c r="H125" i="1"/>
  <c r="I129" i="1"/>
  <c r="H129" i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4" i="1"/>
</calcChain>
</file>

<file path=xl/sharedStrings.xml><?xml version="1.0" encoding="utf-8"?>
<sst xmlns="http://schemas.openxmlformats.org/spreadsheetml/2006/main" count="776" uniqueCount="124">
  <si>
    <t>Nodaļas vadītājs - Expo paviljona direktors</t>
  </si>
  <si>
    <t>Japāna</t>
  </si>
  <si>
    <t>Ekonomikas attīstības programma EXPO 2025 Osaka</t>
  </si>
  <si>
    <t>Klientu apkalpošanas speciālists</t>
  </si>
  <si>
    <t>Expo biznesa programmas koordinators</t>
  </si>
  <si>
    <t>Latvijas ārējās ekonomiskās pārstāvniecības vadītājs</t>
  </si>
  <si>
    <t>Somija</t>
  </si>
  <si>
    <t>Ārējās ekonomiskās politikas ieviešana</t>
  </si>
  <si>
    <t>Vecākais projektu vadītājs</t>
  </si>
  <si>
    <t>Departamenta direktora vietnieks eksporta jautājumos</t>
  </si>
  <si>
    <t>Tūrisma politikas ieviešana</t>
  </si>
  <si>
    <t>Departamenta direktora vietnieks stratēģisko investīciju projektu jautājumos</t>
  </si>
  <si>
    <t>Projekta koordinators</t>
  </si>
  <si>
    <t>Latvija</t>
  </si>
  <si>
    <t>Apvienotie Arābu Emirāti</t>
  </si>
  <si>
    <t>Attīstības vadītājs</t>
  </si>
  <si>
    <t>Zīmola vadītājs</t>
  </si>
  <si>
    <t>Vecākais eksporta projektu vadītājs</t>
  </si>
  <si>
    <t>Informācijas tehnoloģiju projektu vadītājs</t>
  </si>
  <si>
    <t>Nodaļas vadītāja vietnieks</t>
  </si>
  <si>
    <t>Diasporas koordinators ekonomikas jautājumos</t>
  </si>
  <si>
    <t>Vecākais investīciju projektu vadītājs</t>
  </si>
  <si>
    <t>Stratēģiskais vadītājs</t>
  </si>
  <si>
    <t>Direktors</t>
  </si>
  <si>
    <t>Nodaļas vadītājs</t>
  </si>
  <si>
    <t>Norvēģija</t>
  </si>
  <si>
    <t>Direktora vietnieks - departamenta direktors</t>
  </si>
  <si>
    <t>Austrija</t>
  </si>
  <si>
    <t>Latvijas ārējās ekonomiskās pārstāvniecības vadītājs investīciju jomā</t>
  </si>
  <si>
    <t>Kurzemes reģiona vadītājs</t>
  </si>
  <si>
    <t>Departamenta direktora vietnieks inovāciju jautājumos</t>
  </si>
  <si>
    <t>Latvijas un Igaunijas atkrastes vēja enerģijas kopprojekts ELWIND</t>
  </si>
  <si>
    <t>ĀFP MarTe Jūras tehnoloģiju izcilības centrs ilgtspējīgai zilajai ekonomikai Baltijas jūrā</t>
  </si>
  <si>
    <t>Pārstāvniecību finanšu koordinators</t>
  </si>
  <si>
    <t>Viss uzņēmums</t>
  </si>
  <si>
    <t>Latvijas ārējās ekonomiskās pārstāvniecības vadītāja vietnieks</t>
  </si>
  <si>
    <t>Departamenta direktora vietnieks pakalpojumu attīstības jautājumos</t>
  </si>
  <si>
    <t>Vecākais projektu vadītājs – konsorciju un stratēģiskās sadarbības koordinators</t>
  </si>
  <si>
    <t>Kanāda</t>
  </si>
  <si>
    <t>Nr.p.k.</t>
  </si>
  <si>
    <t>Mēnesis</t>
  </si>
  <si>
    <t>Oktobris - Novembris</t>
  </si>
  <si>
    <t>Oktobris</t>
  </si>
  <si>
    <t>Novembris</t>
  </si>
  <si>
    <t>Decembris</t>
  </si>
  <si>
    <t>Japāna, Osaka</t>
  </si>
  <si>
    <t>Valsts, pilsēta</t>
  </si>
  <si>
    <t>Somija, Tampere</t>
  </si>
  <si>
    <t>Igaunija, Tallina</t>
  </si>
  <si>
    <t>Vācija, Berlīne</t>
  </si>
  <si>
    <t>Polija, Gdaņska</t>
  </si>
  <si>
    <t>Japāna, Tokija</t>
  </si>
  <si>
    <t>Nīderlande, Amersfoort</t>
  </si>
  <si>
    <t>Beļģija, Brisele</t>
  </si>
  <si>
    <t>Spānija, Meloneras</t>
  </si>
  <si>
    <t>Dānija, Kolding</t>
  </si>
  <si>
    <t>Polija, Varšava</t>
  </si>
  <si>
    <t>Latvija, Rīga</t>
  </si>
  <si>
    <t>Apvienotie Arābu Emirāti, Dubaija</t>
  </si>
  <si>
    <t>ASV, Vašingtona</t>
  </si>
  <si>
    <t>ASV, Ņujorka</t>
  </si>
  <si>
    <t>Vācija, Frankfurte</t>
  </si>
  <si>
    <t>Bulgārija, Stara Zagora</t>
  </si>
  <si>
    <t>Korejas Republika (Dienvidkoreja), Seula</t>
  </si>
  <si>
    <t>Portugāle, Albufeira</t>
  </si>
  <si>
    <t>Polija, Poznaņa</t>
  </si>
  <si>
    <t>ASV</t>
  </si>
  <si>
    <t>ASV, Sanfrancisko</t>
  </si>
  <si>
    <t>Francija, Parīze</t>
  </si>
  <si>
    <t>Lielbritānija, Londona</t>
  </si>
  <si>
    <t>Brazīlija, Sanpaulu</t>
  </si>
  <si>
    <t>Brazīlija, Sao Paulo</t>
  </si>
  <si>
    <t>Somija, Helsinki</t>
  </si>
  <si>
    <t>Spānija, Barselona</t>
  </si>
  <si>
    <t>Nīderlande, Amsterdama</t>
  </si>
  <si>
    <t>Horvātija, Osijeka</t>
  </si>
  <si>
    <t>Kuveita, Kuveita</t>
  </si>
  <si>
    <t>Spānija, Malaga</t>
  </si>
  <si>
    <t>Portugāle, Lisabona</t>
  </si>
  <si>
    <t>Zviedrija, Jenšēpinga</t>
  </si>
  <si>
    <t>Norvēģija, Tronheima</t>
  </si>
  <si>
    <t>Šveice, Cīrihe</t>
  </si>
  <si>
    <t>Zviedrija, Jonkoping</t>
  </si>
  <si>
    <t>Norvēģija, Oslo</t>
  </si>
  <si>
    <t>Zviedrija, Stokholma</t>
  </si>
  <si>
    <t>Vācija, Minhene</t>
  </si>
  <si>
    <t>Īslande, Reikjavīka</t>
  </si>
  <si>
    <t>Ukraina, Kijiva</t>
  </si>
  <si>
    <t>Apvienotie Arābu Emirāti, Abu Dhabi</t>
  </si>
  <si>
    <t>Apvienotie Arābu Emirāti, Dubaja</t>
  </si>
  <si>
    <t>Izraēla, Telaviva</t>
  </si>
  <si>
    <t>Ungārija, Budapešta</t>
  </si>
  <si>
    <t>Grieķija, Atēnas</t>
  </si>
  <si>
    <t>Vācija, Dortmunde</t>
  </si>
  <si>
    <t>Dalība starptautiskā izstādē</t>
  </si>
  <si>
    <t>Starptautiskās sadarbības nodrošināšana</t>
  </si>
  <si>
    <t>Dalība starptautiskā pasākumā</t>
  </si>
  <si>
    <t>Dalība forumā</t>
  </si>
  <si>
    <t>Dalība starptautiskā konferencē</t>
  </si>
  <si>
    <t>Ministra vizīte, delegācija</t>
  </si>
  <si>
    <t>Dalība Latvijas stendā</t>
  </si>
  <si>
    <t>Valsts vizīte</t>
  </si>
  <si>
    <t>Delegācijas vizīte</t>
  </si>
  <si>
    <t>Pieredzes apmaiņas vizīte</t>
  </si>
  <si>
    <t>Jaunā Ziemeļu tūrisma reģiona iespēju izzināšana</t>
  </si>
  <si>
    <t>Projekts "MVU inovatīvas uzņēmējdarbības attīstība"</t>
  </si>
  <si>
    <t>Eiropas Kopienas inicatīvas projekti</t>
  </si>
  <si>
    <t>Projekts "Atbalsts tehnoloģiju pārneses sistēmas pilnveidošanai"</t>
  </si>
  <si>
    <t>Projekts "Pārtikas reģionālās inovāciju shēmas (RIS)"</t>
  </si>
  <si>
    <t>Projekts "Pilnvērtīga inovāciju sistēmas pārvaldības modeļa izstrāde un tā nepārtraukta darbināšana"</t>
  </si>
  <si>
    <t>Amata Nosaukums</t>
  </si>
  <si>
    <t>Dienu skaits</t>
  </si>
  <si>
    <t>Komandējuma mērķis</t>
  </si>
  <si>
    <t>(izvēlas no saraksta, ja nav – ieraksta)</t>
  </si>
  <si>
    <t>Finansējuma avots</t>
  </si>
  <si>
    <t>Aviobiļešu klase</t>
  </si>
  <si>
    <r>
      <t xml:space="preserve">Izdevumi par viesnīcu (naktsmītni), </t>
    </r>
    <r>
      <rPr>
        <b/>
        <i/>
        <sz val="10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</si>
  <si>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0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</si>
  <si>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0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</si>
  <si>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0"/>
        <rFont val="Calibri"/>
        <family val="2"/>
        <charset val="186"/>
        <scheme val="minor"/>
      </rPr>
      <t>summa</t>
    </r>
  </si>
  <si>
    <t>Reģionālās pārstāvniecības vadītājs</t>
  </si>
  <si>
    <t>Ekonomiskā</t>
  </si>
  <si>
    <t>1248.83</t>
  </si>
  <si>
    <t>Informācija par ārvalstu komandējumu izdevumiem 2025. gada IV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</si>
</sst>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Parasts" xfId="0" builtinId="0"/>
    <cellStyle name="Parasts 2" xfId="1" xr:uid="{1CDD34AA-55E2-4B40-A22F-B995941062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3"/>
  <sheetViews>
    <sheetView tabSelected="1" workbookViewId="0">
      <selection activeCell="E4" sqref="E4"/>
    </sheetView>
  </sheetViews>
  <sheetFormatPr defaultColWidth="9.109375" defaultRowHeight="13.2" x14ac:dyDescent="0.25"/>
  <cols>
    <col min="1" max="1" width="9.109375" style="1"/>
    <col min="2" max="2" width="66.5546875" style="1" customWidth="1"/>
    <col min="3" max="3" width="17.77734375" style="1" bestFit="1" customWidth="1"/>
    <col min="4" max="4" width="10.5546875" style="1" bestFit="1" customWidth="1"/>
    <col min="5" max="5" width="32.33203125" style="1" bestFit="1" customWidth="1"/>
    <col min="6" max="6" width="36.44140625" style="1" bestFit="1" customWidth="1"/>
    <col min="7" max="7" width="81" style="1" bestFit="1" customWidth="1"/>
    <col min="8" max="8" width="15.88671875" customWidth="1"/>
    <col min="9" max="9" width="15.33203125" customWidth="1"/>
    <col min="10" max="10" width="14.33203125" customWidth="1"/>
    <col min="11" max="11" width="14" customWidth="1"/>
    <col min="12" max="12" width="14.33203125" customWidth="1"/>
  </cols>
  <sheetData>
    <row r="1" spans="1:12" ht="13.8" thickBot="1" x14ac:dyDescent="0.3">
      <c r="B1" s="14" t="s">
        <v>123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1.25" customHeight="1" x14ac:dyDescent="0.25">
      <c r="A2" s="10" t="s">
        <v>39</v>
      </c>
      <c r="B2" s="12" t="s">
        <v>110</v>
      </c>
      <c r="C2" s="16" t="s">
        <v>40</v>
      </c>
      <c r="D2" s="16" t="s">
        <v>111</v>
      </c>
      <c r="E2" s="16" t="s">
        <v>46</v>
      </c>
      <c r="F2" s="2" t="s">
        <v>112</v>
      </c>
      <c r="G2" s="2" t="s">
        <v>114</v>
      </c>
      <c r="H2" s="16" t="s">
        <v>116</v>
      </c>
      <c r="I2" s="16" t="s">
        <v>117</v>
      </c>
      <c r="J2" s="16" t="s">
        <v>115</v>
      </c>
      <c r="K2" s="16" t="s">
        <v>118</v>
      </c>
      <c r="L2" s="18" t="s">
        <v>119</v>
      </c>
    </row>
    <row r="3" spans="1:12" ht="33" customHeight="1" thickBot="1" x14ac:dyDescent="0.3">
      <c r="A3" s="11"/>
      <c r="B3" s="13"/>
      <c r="C3" s="17"/>
      <c r="D3" s="17"/>
      <c r="E3" s="17"/>
      <c r="F3" s="3" t="s">
        <v>113</v>
      </c>
      <c r="G3" s="3" t="s">
        <v>113</v>
      </c>
      <c r="H3" s="17"/>
      <c r="I3" s="17"/>
      <c r="J3" s="17"/>
      <c r="K3" s="17"/>
      <c r="L3" s="19"/>
    </row>
    <row r="4" spans="1:12" ht="13.8" x14ac:dyDescent="0.3">
      <c r="A4" s="4">
        <f>ROW()-3</f>
        <v>1</v>
      </c>
      <c r="B4" s="5" t="s">
        <v>0</v>
      </c>
      <c r="C4" s="5" t="s">
        <v>41</v>
      </c>
      <c r="D4" s="4">
        <v>43</v>
      </c>
      <c r="E4" s="5" t="s">
        <v>45</v>
      </c>
      <c r="F4" s="5" t="s">
        <v>94</v>
      </c>
      <c r="G4" s="5" t="s">
        <v>2</v>
      </c>
      <c r="H4" s="4">
        <f>480+460</f>
        <v>940</v>
      </c>
      <c r="I4" s="4"/>
      <c r="J4" s="4"/>
      <c r="K4" s="4">
        <v>4270</v>
      </c>
      <c r="L4" s="4">
        <f>140+57.5+4784.37</f>
        <v>4981.87</v>
      </c>
    </row>
    <row r="5" spans="1:12" ht="13.8" x14ac:dyDescent="0.3">
      <c r="A5" s="6">
        <f t="shared" ref="A5:A68" si="0">ROW()-3</f>
        <v>2</v>
      </c>
      <c r="B5" s="7" t="s">
        <v>3</v>
      </c>
      <c r="C5" s="7" t="s">
        <v>42</v>
      </c>
      <c r="D5" s="6">
        <v>13</v>
      </c>
      <c r="E5" s="7" t="s">
        <v>45</v>
      </c>
      <c r="F5" s="7" t="s">
        <v>94</v>
      </c>
      <c r="G5" s="7" t="s">
        <v>2</v>
      </c>
      <c r="H5" s="6">
        <v>0</v>
      </c>
      <c r="I5" s="6"/>
      <c r="J5" s="6"/>
      <c r="K5" s="6">
        <v>1330</v>
      </c>
      <c r="L5" s="6">
        <v>2391.06</v>
      </c>
    </row>
    <row r="6" spans="1:12" ht="13.8" x14ac:dyDescent="0.3">
      <c r="A6" s="6">
        <f t="shared" si="0"/>
        <v>3</v>
      </c>
      <c r="B6" s="7" t="s">
        <v>3</v>
      </c>
      <c r="C6" s="7" t="s">
        <v>42</v>
      </c>
      <c r="D6" s="6">
        <v>13</v>
      </c>
      <c r="E6" s="7" t="s">
        <v>45</v>
      </c>
      <c r="F6" s="7" t="s">
        <v>94</v>
      </c>
      <c r="G6" s="7" t="s">
        <v>2</v>
      </c>
      <c r="H6" s="6"/>
      <c r="I6" s="6"/>
      <c r="J6" s="6"/>
      <c r="K6" s="6">
        <v>1330</v>
      </c>
      <c r="L6" s="6">
        <v>1325.99</v>
      </c>
    </row>
    <row r="7" spans="1:12" ht="13.8" x14ac:dyDescent="0.3">
      <c r="A7" s="6">
        <f t="shared" si="0"/>
        <v>4</v>
      </c>
      <c r="B7" s="7" t="s">
        <v>3</v>
      </c>
      <c r="C7" s="7" t="s">
        <v>42</v>
      </c>
      <c r="D7" s="6">
        <v>13</v>
      </c>
      <c r="E7" s="7" t="s">
        <v>45</v>
      </c>
      <c r="F7" s="7" t="s">
        <v>94</v>
      </c>
      <c r="G7" s="7" t="s">
        <v>2</v>
      </c>
      <c r="H7" s="6"/>
      <c r="I7" s="6"/>
      <c r="J7" s="6"/>
      <c r="K7" s="6">
        <v>1330</v>
      </c>
      <c r="L7" s="6" t="s">
        <v>122</v>
      </c>
    </row>
    <row r="8" spans="1:12" ht="13.8" x14ac:dyDescent="0.3">
      <c r="A8" s="6">
        <f t="shared" si="0"/>
        <v>5</v>
      </c>
      <c r="B8" s="7" t="s">
        <v>3</v>
      </c>
      <c r="C8" s="7" t="s">
        <v>42</v>
      </c>
      <c r="D8" s="6">
        <v>13</v>
      </c>
      <c r="E8" s="7" t="s">
        <v>45</v>
      </c>
      <c r="F8" s="7" t="s">
        <v>94</v>
      </c>
      <c r="G8" s="7" t="s">
        <v>2</v>
      </c>
      <c r="H8" s="6"/>
      <c r="I8" s="6"/>
      <c r="J8" s="6"/>
      <c r="K8" s="6">
        <v>1330</v>
      </c>
      <c r="L8" s="6">
        <f>1349.85</f>
        <v>1349.85</v>
      </c>
    </row>
    <row r="9" spans="1:12" ht="13.8" x14ac:dyDescent="0.3">
      <c r="A9" s="6">
        <f t="shared" si="0"/>
        <v>6</v>
      </c>
      <c r="B9" s="7" t="s">
        <v>3</v>
      </c>
      <c r="C9" s="7" t="s">
        <v>42</v>
      </c>
      <c r="D9" s="6">
        <v>13</v>
      </c>
      <c r="E9" s="7" t="s">
        <v>45</v>
      </c>
      <c r="F9" s="7" t="s">
        <v>94</v>
      </c>
      <c r="G9" s="7" t="s">
        <v>2</v>
      </c>
      <c r="H9" s="6"/>
      <c r="I9" s="6"/>
      <c r="J9" s="6"/>
      <c r="K9" s="6">
        <v>1330</v>
      </c>
      <c r="L9" s="6">
        <v>1294</v>
      </c>
    </row>
    <row r="10" spans="1:12" ht="13.8" x14ac:dyDescent="0.3">
      <c r="A10" s="6">
        <f t="shared" si="0"/>
        <v>7</v>
      </c>
      <c r="B10" s="7" t="s">
        <v>3</v>
      </c>
      <c r="C10" s="7" t="s">
        <v>42</v>
      </c>
      <c r="D10" s="6">
        <v>13</v>
      </c>
      <c r="E10" s="7" t="s">
        <v>45</v>
      </c>
      <c r="F10" s="7" t="s">
        <v>94</v>
      </c>
      <c r="G10" s="7" t="s">
        <v>2</v>
      </c>
      <c r="H10" s="6"/>
      <c r="I10" s="6"/>
      <c r="J10" s="6"/>
      <c r="K10" s="6">
        <v>1330</v>
      </c>
      <c r="L10" s="6">
        <f>1346.07</f>
        <v>1346.07</v>
      </c>
    </row>
    <row r="11" spans="1:12" ht="13.8" x14ac:dyDescent="0.3">
      <c r="A11" s="6">
        <f t="shared" si="0"/>
        <v>8</v>
      </c>
      <c r="B11" s="7" t="s">
        <v>3</v>
      </c>
      <c r="C11" s="7" t="s">
        <v>42</v>
      </c>
      <c r="D11" s="6">
        <v>13</v>
      </c>
      <c r="E11" s="7" t="s">
        <v>45</v>
      </c>
      <c r="F11" s="7" t="s">
        <v>94</v>
      </c>
      <c r="G11" s="7" t="s">
        <v>2</v>
      </c>
      <c r="H11" s="6"/>
      <c r="I11" s="6"/>
      <c r="J11" s="6"/>
      <c r="K11" s="6">
        <v>1260</v>
      </c>
      <c r="L11" s="6">
        <f>1887.58</f>
        <v>1887.58</v>
      </c>
    </row>
    <row r="12" spans="1:12" ht="13.8" x14ac:dyDescent="0.3">
      <c r="A12" s="6">
        <f t="shared" si="0"/>
        <v>9</v>
      </c>
      <c r="B12" s="7" t="s">
        <v>4</v>
      </c>
      <c r="C12" s="7" t="s">
        <v>42</v>
      </c>
      <c r="D12" s="6">
        <v>13</v>
      </c>
      <c r="E12" s="7" t="s">
        <v>45</v>
      </c>
      <c r="F12" s="7" t="s">
        <v>94</v>
      </c>
      <c r="G12" s="7" t="s">
        <v>2</v>
      </c>
      <c r="H12" s="6">
        <v>6525</v>
      </c>
      <c r="I12" s="6">
        <v>1534.9</v>
      </c>
      <c r="J12" s="6" t="s">
        <v>121</v>
      </c>
      <c r="K12" s="6">
        <f>910+1330</f>
        <v>2240</v>
      </c>
      <c r="L12" s="6">
        <f>370+290.43</f>
        <v>660.43000000000006</v>
      </c>
    </row>
    <row r="13" spans="1:12" ht="13.8" x14ac:dyDescent="0.3">
      <c r="A13" s="6">
        <f t="shared" si="0"/>
        <v>10</v>
      </c>
      <c r="B13" s="7" t="s">
        <v>5</v>
      </c>
      <c r="C13" s="7" t="s">
        <v>42</v>
      </c>
      <c r="D13" s="6">
        <v>2</v>
      </c>
      <c r="E13" s="7" t="s">
        <v>47</v>
      </c>
      <c r="F13" s="7" t="s">
        <v>94</v>
      </c>
      <c r="G13" s="7" t="s">
        <v>7</v>
      </c>
      <c r="H13" s="6">
        <f>150</f>
        <v>150</v>
      </c>
      <c r="I13" s="6"/>
      <c r="J13" s="6"/>
      <c r="K13" s="6"/>
      <c r="L13" s="6">
        <v>42.8</v>
      </c>
    </row>
    <row r="14" spans="1:12" ht="13.8" x14ac:dyDescent="0.3">
      <c r="A14" s="6">
        <f t="shared" si="0"/>
        <v>11</v>
      </c>
      <c r="B14" s="7" t="s">
        <v>8</v>
      </c>
      <c r="C14" s="7" t="s">
        <v>42</v>
      </c>
      <c r="D14" s="6">
        <v>1</v>
      </c>
      <c r="E14" s="7" t="s">
        <v>48</v>
      </c>
      <c r="F14" s="9" t="s">
        <v>95</v>
      </c>
      <c r="G14" s="7" t="s">
        <v>104</v>
      </c>
      <c r="H14" s="6">
        <f>119+210</f>
        <v>329</v>
      </c>
      <c r="I14" s="6"/>
      <c r="J14" s="6"/>
      <c r="K14" s="6">
        <v>160</v>
      </c>
      <c r="L14" s="6">
        <f>21+16</f>
        <v>37</v>
      </c>
    </row>
    <row r="15" spans="1:12" ht="13.8" x14ac:dyDescent="0.3">
      <c r="A15" s="6">
        <f t="shared" si="0"/>
        <v>12</v>
      </c>
      <c r="B15" s="7" t="s">
        <v>8</v>
      </c>
      <c r="C15" s="7" t="s">
        <v>42</v>
      </c>
      <c r="D15" s="6">
        <v>6</v>
      </c>
      <c r="E15" s="7" t="s">
        <v>1</v>
      </c>
      <c r="F15" s="7" t="s">
        <v>94</v>
      </c>
      <c r="G15" s="7" t="s">
        <v>2</v>
      </c>
      <c r="H15" s="6">
        <f>1060+705</f>
        <v>1765</v>
      </c>
      <c r="I15" s="6">
        <f>1380.65</f>
        <v>1380.65</v>
      </c>
      <c r="J15" s="6" t="s">
        <v>121</v>
      </c>
      <c r="K15" s="6">
        <v>770</v>
      </c>
      <c r="L15" s="6">
        <f>331-166.12</f>
        <v>164.88</v>
      </c>
    </row>
    <row r="16" spans="1:12" ht="13.8" x14ac:dyDescent="0.3">
      <c r="A16" s="6">
        <f t="shared" si="0"/>
        <v>13</v>
      </c>
      <c r="B16" s="7" t="s">
        <v>8</v>
      </c>
      <c r="C16" s="7" t="s">
        <v>42</v>
      </c>
      <c r="D16" s="6">
        <v>2</v>
      </c>
      <c r="E16" s="7" t="s">
        <v>47</v>
      </c>
      <c r="F16" s="9" t="s">
        <v>94</v>
      </c>
      <c r="G16" s="7" t="s">
        <v>7</v>
      </c>
      <c r="H16" s="6">
        <f>672</f>
        <v>672</v>
      </c>
      <c r="I16" s="6"/>
      <c r="J16" s="6"/>
      <c r="K16" s="6">
        <v>275</v>
      </c>
      <c r="L16" s="6">
        <f>100+47.4+171.6</f>
        <v>319</v>
      </c>
    </row>
    <row r="17" spans="1:12" ht="13.8" x14ac:dyDescent="0.3">
      <c r="A17" s="6">
        <f t="shared" si="0"/>
        <v>14</v>
      </c>
      <c r="B17" s="7" t="s">
        <v>8</v>
      </c>
      <c r="C17" s="7" t="s">
        <v>42</v>
      </c>
      <c r="D17" s="6">
        <v>1</v>
      </c>
      <c r="E17" s="7" t="s">
        <v>48</v>
      </c>
      <c r="F17" s="7" t="s">
        <v>95</v>
      </c>
      <c r="G17" s="7" t="s">
        <v>104</v>
      </c>
      <c r="H17" s="6">
        <f>119+210</f>
        <v>329</v>
      </c>
      <c r="I17" s="6"/>
      <c r="J17" s="6"/>
      <c r="K17" s="6">
        <v>160</v>
      </c>
      <c r="L17" s="6">
        <f>21+16</f>
        <v>37</v>
      </c>
    </row>
    <row r="18" spans="1:12" ht="13.8" x14ac:dyDescent="0.3">
      <c r="A18" s="6">
        <f t="shared" si="0"/>
        <v>15</v>
      </c>
      <c r="B18" s="7" t="s">
        <v>8</v>
      </c>
      <c r="C18" s="7" t="s">
        <v>42</v>
      </c>
      <c r="D18" s="6">
        <v>5</v>
      </c>
      <c r="E18" s="7" t="s">
        <v>49</v>
      </c>
      <c r="F18" s="7" t="s">
        <v>96</v>
      </c>
      <c r="G18" s="7" t="s">
        <v>105</v>
      </c>
      <c r="H18" s="6">
        <v>680</v>
      </c>
      <c r="I18" s="6">
        <f>305.53</f>
        <v>305.52999999999997</v>
      </c>
      <c r="J18" s="6" t="s">
        <v>121</v>
      </c>
      <c r="K18" s="6">
        <v>250</v>
      </c>
      <c r="L18" s="6">
        <f>35.93+59.9</f>
        <v>95.83</v>
      </c>
    </row>
    <row r="19" spans="1:12" ht="13.8" x14ac:dyDescent="0.3">
      <c r="A19" s="6">
        <f t="shared" si="0"/>
        <v>16</v>
      </c>
      <c r="B19" s="7" t="s">
        <v>9</v>
      </c>
      <c r="C19" s="7" t="s">
        <v>42</v>
      </c>
      <c r="D19" s="6">
        <v>3</v>
      </c>
      <c r="E19" s="7" t="s">
        <v>50</v>
      </c>
      <c r="F19" s="7" t="s">
        <v>97</v>
      </c>
      <c r="G19" s="7" t="s">
        <v>10</v>
      </c>
      <c r="H19" s="6">
        <v>330</v>
      </c>
      <c r="I19" s="6">
        <f>227.4+66.8</f>
        <v>294.2</v>
      </c>
      <c r="J19" s="6" t="s">
        <v>121</v>
      </c>
      <c r="K19" s="6">
        <v>140</v>
      </c>
      <c r="L19" s="6">
        <v>22.9</v>
      </c>
    </row>
    <row r="20" spans="1:12" ht="13.8" x14ac:dyDescent="0.3">
      <c r="A20" s="6">
        <f t="shared" si="0"/>
        <v>17</v>
      </c>
      <c r="B20" s="7" t="s">
        <v>11</v>
      </c>
      <c r="C20" s="7" t="s">
        <v>42</v>
      </c>
      <c r="D20" s="6">
        <v>9</v>
      </c>
      <c r="E20" s="7" t="s">
        <v>51</v>
      </c>
      <c r="F20" s="7" t="s">
        <v>96</v>
      </c>
      <c r="G20" s="7" t="s">
        <v>7</v>
      </c>
      <c r="H20" s="6">
        <v>1470</v>
      </c>
      <c r="I20" s="6">
        <v>2702.19</v>
      </c>
      <c r="J20" s="6" t="s">
        <v>121</v>
      </c>
      <c r="K20" s="6">
        <v>630</v>
      </c>
      <c r="L20" s="6">
        <f>78.87</f>
        <v>78.87</v>
      </c>
    </row>
    <row r="21" spans="1:12" ht="13.8" x14ac:dyDescent="0.3">
      <c r="A21" s="6">
        <f t="shared" si="0"/>
        <v>18</v>
      </c>
      <c r="B21" s="7" t="s">
        <v>8</v>
      </c>
      <c r="C21" s="7" t="s">
        <v>42</v>
      </c>
      <c r="D21" s="6">
        <v>3</v>
      </c>
      <c r="E21" s="7" t="s">
        <v>52</v>
      </c>
      <c r="F21" s="7" t="s">
        <v>96</v>
      </c>
      <c r="G21" s="7" t="s">
        <v>10</v>
      </c>
      <c r="H21" s="6">
        <v>440</v>
      </c>
      <c r="I21" s="6">
        <f>481.65</f>
        <v>481.65</v>
      </c>
      <c r="J21" s="6" t="s">
        <v>121</v>
      </c>
      <c r="K21" s="6">
        <v>180</v>
      </c>
      <c r="L21" s="6">
        <v>25.4</v>
      </c>
    </row>
    <row r="22" spans="1:12" ht="13.8" x14ac:dyDescent="0.3">
      <c r="A22" s="6">
        <f t="shared" si="0"/>
        <v>19</v>
      </c>
      <c r="B22" s="7" t="s">
        <v>12</v>
      </c>
      <c r="C22" s="7" t="s">
        <v>42</v>
      </c>
      <c r="D22" s="6">
        <v>3</v>
      </c>
      <c r="E22" s="7" t="s">
        <v>53</v>
      </c>
      <c r="F22" s="7" t="s">
        <v>96</v>
      </c>
      <c r="G22" s="7" t="s">
        <v>106</v>
      </c>
      <c r="H22" s="6">
        <f>484</f>
        <v>484</v>
      </c>
      <c r="I22" s="6">
        <f>455.82</f>
        <v>455.82</v>
      </c>
      <c r="J22" s="6" t="s">
        <v>121</v>
      </c>
      <c r="K22" s="6">
        <v>180</v>
      </c>
      <c r="L22" s="6">
        <f>30+19.28</f>
        <v>49.28</v>
      </c>
    </row>
    <row r="23" spans="1:12" ht="13.8" x14ac:dyDescent="0.3">
      <c r="A23" s="6">
        <f t="shared" si="0"/>
        <v>20</v>
      </c>
      <c r="B23" s="7" t="s">
        <v>8</v>
      </c>
      <c r="C23" s="7" t="s">
        <v>42</v>
      </c>
      <c r="D23" s="6">
        <v>4</v>
      </c>
      <c r="E23" s="7" t="s">
        <v>54</v>
      </c>
      <c r="F23" s="7" t="s">
        <v>97</v>
      </c>
      <c r="G23" s="7" t="s">
        <v>10</v>
      </c>
      <c r="H23" s="6"/>
      <c r="I23" s="6">
        <v>979.58</v>
      </c>
      <c r="J23" s="6" t="s">
        <v>121</v>
      </c>
      <c r="K23" s="6">
        <v>200</v>
      </c>
      <c r="L23" s="6">
        <v>8.1</v>
      </c>
    </row>
    <row r="24" spans="1:12" ht="13.8" x14ac:dyDescent="0.3">
      <c r="A24" s="6">
        <f t="shared" si="0"/>
        <v>21</v>
      </c>
      <c r="B24" s="7" t="s">
        <v>5</v>
      </c>
      <c r="C24" s="7" t="s">
        <v>42</v>
      </c>
      <c r="D24" s="6">
        <v>2</v>
      </c>
      <c r="E24" s="7" t="s">
        <v>55</v>
      </c>
      <c r="F24" s="7" t="s">
        <v>95</v>
      </c>
      <c r="G24" s="7" t="s">
        <v>7</v>
      </c>
      <c r="H24" s="6">
        <v>130</v>
      </c>
      <c r="I24" s="6"/>
      <c r="J24" s="6"/>
      <c r="K24" s="6"/>
      <c r="L24" s="6"/>
    </row>
    <row r="25" spans="1:12" ht="13.8" x14ac:dyDescent="0.3">
      <c r="A25" s="6">
        <f t="shared" si="0"/>
        <v>22</v>
      </c>
      <c r="B25" s="7" t="s">
        <v>8</v>
      </c>
      <c r="C25" s="7" t="s">
        <v>42</v>
      </c>
      <c r="D25" s="6">
        <v>4</v>
      </c>
      <c r="E25" s="7" t="s">
        <v>56</v>
      </c>
      <c r="F25" s="7" t="s">
        <v>96</v>
      </c>
      <c r="G25" s="7" t="s">
        <v>10</v>
      </c>
      <c r="H25" s="6">
        <f>140+121.23+101.83</f>
        <v>363.06</v>
      </c>
      <c r="I25" s="6">
        <f>187.05+193.09</f>
        <v>380.14</v>
      </c>
      <c r="J25" s="6" t="s">
        <v>121</v>
      </c>
      <c r="K25" s="6">
        <v>140</v>
      </c>
      <c r="L25" s="6">
        <v>91.43</v>
      </c>
    </row>
    <row r="26" spans="1:12" ht="13.8" x14ac:dyDescent="0.3">
      <c r="A26" s="6">
        <f t="shared" si="0"/>
        <v>23</v>
      </c>
      <c r="B26" s="7" t="s">
        <v>5</v>
      </c>
      <c r="C26" s="7" t="s">
        <v>42</v>
      </c>
      <c r="D26" s="6">
        <v>2</v>
      </c>
      <c r="E26" s="7" t="s">
        <v>57</v>
      </c>
      <c r="F26" s="7" t="s">
        <v>96</v>
      </c>
      <c r="G26" s="7" t="s">
        <v>7</v>
      </c>
      <c r="H26" s="6">
        <v>110</v>
      </c>
      <c r="I26" s="6">
        <f>444.86</f>
        <v>444.86</v>
      </c>
      <c r="J26" s="6" t="s">
        <v>121</v>
      </c>
      <c r="K26" s="6"/>
      <c r="L26" s="6">
        <f>42.61</f>
        <v>42.61</v>
      </c>
    </row>
    <row r="27" spans="1:12" ht="13.8" x14ac:dyDescent="0.3">
      <c r="A27" s="6">
        <f t="shared" si="0"/>
        <v>24</v>
      </c>
      <c r="B27" s="7" t="s">
        <v>8</v>
      </c>
      <c r="C27" s="7" t="s">
        <v>42</v>
      </c>
      <c r="D27" s="6">
        <v>12</v>
      </c>
      <c r="E27" s="7" t="s">
        <v>1</v>
      </c>
      <c r="F27" s="9" t="s">
        <v>94</v>
      </c>
      <c r="G27" s="7" t="s">
        <v>2</v>
      </c>
      <c r="H27" s="6">
        <f>2100</f>
        <v>2100</v>
      </c>
      <c r="I27" s="6">
        <v>1712.6</v>
      </c>
      <c r="J27" s="6" t="s">
        <v>121</v>
      </c>
      <c r="K27" s="6">
        <v>840</v>
      </c>
      <c r="L27" s="6">
        <f>144.25</f>
        <v>144.25</v>
      </c>
    </row>
    <row r="28" spans="1:12" ht="13.8" x14ac:dyDescent="0.3">
      <c r="A28" s="6">
        <f t="shared" si="0"/>
        <v>25</v>
      </c>
      <c r="B28" s="7" t="s">
        <v>8</v>
      </c>
      <c r="C28" s="7" t="s">
        <v>42</v>
      </c>
      <c r="D28" s="6">
        <v>10</v>
      </c>
      <c r="E28" s="7" t="s">
        <v>14</v>
      </c>
      <c r="F28" s="9" t="s">
        <v>94</v>
      </c>
      <c r="G28" s="7" t="s">
        <v>105</v>
      </c>
      <c r="H28" s="6">
        <f>615+1020</f>
        <v>1635</v>
      </c>
      <c r="I28" s="6">
        <v>1700.75</v>
      </c>
      <c r="J28" s="6" t="s">
        <v>121</v>
      </c>
      <c r="K28" s="6">
        <v>500</v>
      </c>
      <c r="L28" s="6">
        <v>166.53</v>
      </c>
    </row>
    <row r="29" spans="1:12" ht="13.8" x14ac:dyDescent="0.3">
      <c r="A29" s="6">
        <f t="shared" si="0"/>
        <v>26</v>
      </c>
      <c r="B29" s="7" t="s">
        <v>8</v>
      </c>
      <c r="C29" s="7" t="s">
        <v>42</v>
      </c>
      <c r="D29" s="6">
        <v>9</v>
      </c>
      <c r="E29" s="7" t="s">
        <v>58</v>
      </c>
      <c r="F29" s="9" t="s">
        <v>94</v>
      </c>
      <c r="G29" s="7" t="s">
        <v>105</v>
      </c>
      <c r="H29" s="6">
        <f>1225</f>
        <v>1225</v>
      </c>
      <c r="I29" s="6">
        <f>658.01</f>
        <v>658.01</v>
      </c>
      <c r="J29" s="6" t="s">
        <v>121</v>
      </c>
      <c r="K29" s="6">
        <v>450</v>
      </c>
      <c r="L29" s="6">
        <f>105.07</f>
        <v>105.07</v>
      </c>
    </row>
    <row r="30" spans="1:12" ht="13.8" x14ac:dyDescent="0.3">
      <c r="A30" s="6">
        <f t="shared" si="0"/>
        <v>27</v>
      </c>
      <c r="B30" s="7" t="s">
        <v>8</v>
      </c>
      <c r="C30" s="7" t="s">
        <v>42</v>
      </c>
      <c r="D30" s="6">
        <v>8</v>
      </c>
      <c r="E30" s="7" t="s">
        <v>58</v>
      </c>
      <c r="F30" s="9" t="s">
        <v>94</v>
      </c>
      <c r="G30" s="7" t="s">
        <v>107</v>
      </c>
      <c r="H30" s="6">
        <f>850+615</f>
        <v>1465</v>
      </c>
      <c r="I30" s="6">
        <f>702.48+784.12</f>
        <v>1486.6</v>
      </c>
      <c r="J30" s="6" t="s">
        <v>121</v>
      </c>
      <c r="K30" s="6">
        <v>400</v>
      </c>
      <c r="L30" s="6">
        <v>93.49</v>
      </c>
    </row>
    <row r="31" spans="1:12" ht="13.8" x14ac:dyDescent="0.3">
      <c r="A31" s="6">
        <f t="shared" si="0"/>
        <v>28</v>
      </c>
      <c r="B31" s="7" t="s">
        <v>15</v>
      </c>
      <c r="C31" s="7" t="s">
        <v>42</v>
      </c>
      <c r="D31" s="6">
        <v>6</v>
      </c>
      <c r="E31" s="7" t="s">
        <v>58</v>
      </c>
      <c r="F31" s="9" t="s">
        <v>94</v>
      </c>
      <c r="G31" s="7" t="s">
        <v>7</v>
      </c>
      <c r="H31" s="6">
        <v>1022.95</v>
      </c>
      <c r="I31" s="6">
        <f>868.74</f>
        <v>868.74</v>
      </c>
      <c r="J31" s="6" t="s">
        <v>121</v>
      </c>
      <c r="K31" s="6">
        <v>300</v>
      </c>
      <c r="L31" s="6">
        <v>56.93</v>
      </c>
    </row>
    <row r="32" spans="1:12" ht="13.8" x14ac:dyDescent="0.3">
      <c r="A32" s="6">
        <f t="shared" si="0"/>
        <v>29</v>
      </c>
      <c r="B32" s="7" t="s">
        <v>16</v>
      </c>
      <c r="C32" s="7" t="s">
        <v>42</v>
      </c>
      <c r="D32" s="6">
        <v>6</v>
      </c>
      <c r="E32" s="7" t="s">
        <v>58</v>
      </c>
      <c r="F32" s="9" t="s">
        <v>94</v>
      </c>
      <c r="G32" s="7" t="s">
        <v>7</v>
      </c>
      <c r="H32" s="6">
        <v>1027.49</v>
      </c>
      <c r="I32" s="6">
        <v>868.74</v>
      </c>
      <c r="J32" s="6" t="s">
        <v>121</v>
      </c>
      <c r="K32" s="6">
        <v>300</v>
      </c>
      <c r="L32" s="6">
        <v>63.9</v>
      </c>
    </row>
    <row r="33" spans="1:12" ht="13.8" x14ac:dyDescent="0.3">
      <c r="A33" s="6">
        <f t="shared" si="0"/>
        <v>30</v>
      </c>
      <c r="B33" s="7" t="s">
        <v>17</v>
      </c>
      <c r="C33" s="7" t="s">
        <v>42</v>
      </c>
      <c r="D33" s="6">
        <v>8</v>
      </c>
      <c r="E33" s="7" t="s">
        <v>59</v>
      </c>
      <c r="F33" s="7" t="s">
        <v>98</v>
      </c>
      <c r="G33" s="7" t="s">
        <v>7</v>
      </c>
      <c r="H33" s="6">
        <v>1712.16</v>
      </c>
      <c r="I33" s="6">
        <v>622.87</v>
      </c>
      <c r="J33" s="6" t="s">
        <v>121</v>
      </c>
      <c r="K33" s="6">
        <v>480</v>
      </c>
      <c r="L33" s="6">
        <f>18.07+102</f>
        <v>120.07</v>
      </c>
    </row>
    <row r="34" spans="1:12" ht="13.8" x14ac:dyDescent="0.3">
      <c r="A34" s="6">
        <f t="shared" si="0"/>
        <v>31</v>
      </c>
      <c r="B34" s="7" t="s">
        <v>18</v>
      </c>
      <c r="C34" s="7" t="s">
        <v>42</v>
      </c>
      <c r="D34" s="6">
        <v>8</v>
      </c>
      <c r="E34" s="7" t="s">
        <v>59</v>
      </c>
      <c r="F34" s="7" t="s">
        <v>98</v>
      </c>
      <c r="G34" s="7" t="s">
        <v>7</v>
      </c>
      <c r="H34" s="6">
        <f>640+220+731.67</f>
        <v>1591.67</v>
      </c>
      <c r="I34" s="6">
        <f>1797.78</f>
        <v>1797.78</v>
      </c>
      <c r="J34" s="6" t="s">
        <v>121</v>
      </c>
      <c r="K34" s="6">
        <v>480</v>
      </c>
      <c r="L34" s="6"/>
    </row>
    <row r="35" spans="1:12" ht="13.8" x14ac:dyDescent="0.3">
      <c r="A35" s="6">
        <f t="shared" si="0"/>
        <v>32</v>
      </c>
      <c r="B35" s="7" t="s">
        <v>5</v>
      </c>
      <c r="C35" s="7" t="s">
        <v>42</v>
      </c>
      <c r="D35" s="6">
        <v>11</v>
      </c>
      <c r="E35" s="7" t="s">
        <v>60</v>
      </c>
      <c r="F35" s="7" t="s">
        <v>98</v>
      </c>
      <c r="G35" s="7" t="s">
        <v>7</v>
      </c>
      <c r="H35" s="6">
        <f>1520+1342.51</f>
        <v>2862.51</v>
      </c>
      <c r="I35" s="6">
        <f>2118.47+435.19+223.48</f>
        <v>2777.14</v>
      </c>
      <c r="J35" s="6" t="s">
        <v>121</v>
      </c>
      <c r="K35" s="6">
        <v>660</v>
      </c>
      <c r="L35" s="6">
        <f>130.88+18.51</f>
        <v>149.38999999999999</v>
      </c>
    </row>
    <row r="36" spans="1:12" ht="13.8" x14ac:dyDescent="0.3">
      <c r="A36" s="6">
        <f t="shared" si="0"/>
        <v>33</v>
      </c>
      <c r="B36" s="7" t="s">
        <v>19</v>
      </c>
      <c r="C36" s="7" t="s">
        <v>42</v>
      </c>
      <c r="D36" s="6">
        <v>8</v>
      </c>
      <c r="E36" s="7" t="s">
        <v>59</v>
      </c>
      <c r="F36" s="7" t="s">
        <v>98</v>
      </c>
      <c r="G36" s="7" t="s">
        <v>7</v>
      </c>
      <c r="H36" s="6">
        <f>1612.94</f>
        <v>1612.94</v>
      </c>
      <c r="I36" s="6">
        <f>1615.61</f>
        <v>1615.61</v>
      </c>
      <c r="J36" s="6" t="s">
        <v>121</v>
      </c>
      <c r="K36" s="6">
        <v>480</v>
      </c>
      <c r="L36" s="6">
        <v>500</v>
      </c>
    </row>
    <row r="37" spans="1:12" ht="13.8" x14ac:dyDescent="0.3">
      <c r="A37" s="6">
        <f t="shared" si="0"/>
        <v>34</v>
      </c>
      <c r="B37" s="7" t="s">
        <v>20</v>
      </c>
      <c r="C37" s="7" t="s">
        <v>42</v>
      </c>
      <c r="D37" s="6">
        <v>7</v>
      </c>
      <c r="E37" s="7" t="s">
        <v>59</v>
      </c>
      <c r="F37" s="7" t="s">
        <v>98</v>
      </c>
      <c r="G37" s="7" t="s">
        <v>7</v>
      </c>
      <c r="H37" s="6">
        <f>1342.51</f>
        <v>1342.51</v>
      </c>
      <c r="I37" s="6">
        <f>1118.43+85</f>
        <v>1203.43</v>
      </c>
      <c r="J37" s="6" t="s">
        <v>121</v>
      </c>
      <c r="K37" s="6">
        <v>420</v>
      </c>
      <c r="L37" s="6">
        <f>55.46+34.84</f>
        <v>90.300000000000011</v>
      </c>
    </row>
    <row r="38" spans="1:12" ht="13.8" x14ac:dyDescent="0.3">
      <c r="A38" s="6">
        <f t="shared" si="0"/>
        <v>35</v>
      </c>
      <c r="B38" s="7" t="s">
        <v>21</v>
      </c>
      <c r="C38" s="7" t="s">
        <v>42</v>
      </c>
      <c r="D38" s="6">
        <v>7</v>
      </c>
      <c r="E38" s="7" t="s">
        <v>59</v>
      </c>
      <c r="F38" s="7" t="s">
        <v>98</v>
      </c>
      <c r="G38" s="7" t="s">
        <v>7</v>
      </c>
      <c r="H38" s="6">
        <v>1342.51</v>
      </c>
      <c r="I38" s="6">
        <f>1184.34</f>
        <v>1184.3399999999999</v>
      </c>
      <c r="J38" s="6" t="s">
        <v>121</v>
      </c>
      <c r="K38" s="6">
        <v>420</v>
      </c>
      <c r="L38" s="6">
        <f>100-31.02</f>
        <v>68.98</v>
      </c>
    </row>
    <row r="39" spans="1:12" ht="13.8" x14ac:dyDescent="0.3">
      <c r="A39" s="6">
        <f t="shared" si="0"/>
        <v>36</v>
      </c>
      <c r="B39" s="7" t="s">
        <v>5</v>
      </c>
      <c r="C39" s="7" t="s">
        <v>42</v>
      </c>
      <c r="D39" s="6">
        <v>6</v>
      </c>
      <c r="E39" s="7" t="s">
        <v>57</v>
      </c>
      <c r="F39" s="7" t="s">
        <v>99</v>
      </c>
      <c r="G39" s="7" t="s">
        <v>7</v>
      </c>
      <c r="H39" s="6">
        <v>590</v>
      </c>
      <c r="I39" s="6">
        <f>2157.13</f>
        <v>2157.13</v>
      </c>
      <c r="J39" s="6" t="s">
        <v>121</v>
      </c>
      <c r="K39" s="6"/>
      <c r="L39" s="6"/>
    </row>
    <row r="40" spans="1:12" ht="13.8" x14ac:dyDescent="0.3">
      <c r="A40" s="6">
        <f t="shared" si="0"/>
        <v>37</v>
      </c>
      <c r="B40" s="7" t="s">
        <v>8</v>
      </c>
      <c r="C40" s="7" t="s">
        <v>42</v>
      </c>
      <c r="D40" s="6">
        <v>8</v>
      </c>
      <c r="E40" s="7" t="s">
        <v>61</v>
      </c>
      <c r="F40" s="9" t="s">
        <v>94</v>
      </c>
      <c r="G40" s="7" t="s">
        <v>10</v>
      </c>
      <c r="H40" s="6">
        <v>1505</v>
      </c>
      <c r="I40" s="6">
        <v>274.36</v>
      </c>
      <c r="J40" s="6" t="s">
        <v>121</v>
      </c>
      <c r="K40" s="6">
        <v>400</v>
      </c>
      <c r="L40" s="6">
        <v>26.9</v>
      </c>
    </row>
    <row r="41" spans="1:12" ht="13.8" x14ac:dyDescent="0.3">
      <c r="A41" s="6">
        <f t="shared" si="0"/>
        <v>38</v>
      </c>
      <c r="B41" s="7" t="s">
        <v>22</v>
      </c>
      <c r="C41" s="7" t="s">
        <v>42</v>
      </c>
      <c r="D41" s="6">
        <v>4</v>
      </c>
      <c r="E41" s="7" t="s">
        <v>53</v>
      </c>
      <c r="F41" s="7" t="s">
        <v>97</v>
      </c>
      <c r="G41" s="7" t="s">
        <v>108</v>
      </c>
      <c r="H41" s="6">
        <v>480</v>
      </c>
      <c r="I41" s="6">
        <v>345.82</v>
      </c>
      <c r="J41" s="6" t="s">
        <v>121</v>
      </c>
      <c r="K41" s="6">
        <v>240</v>
      </c>
      <c r="L41" s="6">
        <f>50+42.44</f>
        <v>92.44</v>
      </c>
    </row>
    <row r="42" spans="1:12" ht="13.8" x14ac:dyDescent="0.3">
      <c r="A42" s="6">
        <f t="shared" si="0"/>
        <v>39</v>
      </c>
      <c r="B42" s="7" t="s">
        <v>23</v>
      </c>
      <c r="C42" s="7" t="s">
        <v>42</v>
      </c>
      <c r="D42" s="6">
        <v>9</v>
      </c>
      <c r="E42" s="7" t="s">
        <v>59</v>
      </c>
      <c r="F42" s="7" t="s">
        <v>98</v>
      </c>
      <c r="G42" s="7" t="s">
        <v>7</v>
      </c>
      <c r="H42" s="6">
        <f>686.36+805.51</f>
        <v>1491.87</v>
      </c>
      <c r="I42" s="6">
        <f>610.16+436.99+227.74</f>
        <v>1274.8900000000001</v>
      </c>
      <c r="J42" s="6" t="s">
        <v>121</v>
      </c>
      <c r="K42" s="6">
        <v>540</v>
      </c>
      <c r="L42" s="6"/>
    </row>
    <row r="43" spans="1:12" ht="13.8" x14ac:dyDescent="0.3">
      <c r="A43" s="6">
        <f t="shared" si="0"/>
        <v>40</v>
      </c>
      <c r="B43" s="7" t="s">
        <v>24</v>
      </c>
      <c r="C43" s="7" t="s">
        <v>42</v>
      </c>
      <c r="D43" s="6">
        <v>5</v>
      </c>
      <c r="E43" s="7" t="s">
        <v>59</v>
      </c>
      <c r="F43" s="7" t="s">
        <v>98</v>
      </c>
      <c r="G43" s="7" t="s">
        <v>7</v>
      </c>
      <c r="H43" s="6">
        <v>811.17</v>
      </c>
      <c r="I43" s="6">
        <f>1759.06</f>
        <v>1759.06</v>
      </c>
      <c r="J43" s="6" t="s">
        <v>121</v>
      </c>
      <c r="K43" s="6">
        <v>300</v>
      </c>
      <c r="L43" s="6">
        <v>203.97</v>
      </c>
    </row>
    <row r="44" spans="1:12" ht="13.8" x14ac:dyDescent="0.3">
      <c r="A44" s="6">
        <f t="shared" si="0"/>
        <v>41</v>
      </c>
      <c r="B44" s="7" t="s">
        <v>8</v>
      </c>
      <c r="C44" s="7" t="s">
        <v>42</v>
      </c>
      <c r="D44" s="6">
        <v>5</v>
      </c>
      <c r="E44" s="7" t="s">
        <v>62</v>
      </c>
      <c r="F44" s="7" t="s">
        <v>95</v>
      </c>
      <c r="G44" s="7" t="s">
        <v>105</v>
      </c>
      <c r="H44" s="6"/>
      <c r="I44" s="6"/>
      <c r="J44" s="6"/>
      <c r="K44" s="6">
        <v>175</v>
      </c>
      <c r="L44" s="6"/>
    </row>
    <row r="45" spans="1:12" ht="13.8" x14ac:dyDescent="0.3">
      <c r="A45" s="6">
        <f t="shared" si="0"/>
        <v>42</v>
      </c>
      <c r="B45" s="7" t="s">
        <v>8</v>
      </c>
      <c r="C45" s="7" t="s">
        <v>42</v>
      </c>
      <c r="D45" s="6">
        <v>6</v>
      </c>
      <c r="E45" s="7" t="s">
        <v>25</v>
      </c>
      <c r="F45" s="9" t="s">
        <v>94</v>
      </c>
      <c r="G45" s="7" t="s">
        <v>105</v>
      </c>
      <c r="H45" s="6">
        <v>750</v>
      </c>
      <c r="I45" s="6">
        <f>223.7</f>
        <v>223.7</v>
      </c>
      <c r="J45" s="6" t="s">
        <v>121</v>
      </c>
      <c r="K45" s="6">
        <v>390</v>
      </c>
      <c r="L45" s="6">
        <v>79.02</v>
      </c>
    </row>
    <row r="46" spans="1:12" ht="13.8" x14ac:dyDescent="0.3">
      <c r="A46" s="6">
        <f t="shared" si="0"/>
        <v>43</v>
      </c>
      <c r="B46" s="7" t="s">
        <v>26</v>
      </c>
      <c r="C46" s="7" t="s">
        <v>42</v>
      </c>
      <c r="D46" s="6">
        <v>9</v>
      </c>
      <c r="E46" s="7" t="s">
        <v>59</v>
      </c>
      <c r="F46" s="7" t="s">
        <v>98</v>
      </c>
      <c r="G46" s="7" t="s">
        <v>7</v>
      </c>
      <c r="H46" s="6">
        <v>2178.23</v>
      </c>
      <c r="I46" s="6">
        <f>1099.89+227.74</f>
        <v>1327.63</v>
      </c>
      <c r="J46" s="6" t="s">
        <v>121</v>
      </c>
      <c r="K46" s="6">
        <v>540</v>
      </c>
      <c r="L46" s="6">
        <v>162.61000000000001</v>
      </c>
    </row>
    <row r="47" spans="1:12" ht="13.8" x14ac:dyDescent="0.3">
      <c r="A47" s="6">
        <f t="shared" si="0"/>
        <v>44</v>
      </c>
      <c r="B47" s="7" t="s">
        <v>5</v>
      </c>
      <c r="C47" s="7" t="s">
        <v>42</v>
      </c>
      <c r="D47" s="6">
        <v>5</v>
      </c>
      <c r="E47" s="7" t="s">
        <v>57</v>
      </c>
      <c r="F47" s="7" t="s">
        <v>95</v>
      </c>
      <c r="G47" s="7" t="s">
        <v>7</v>
      </c>
      <c r="H47" s="6">
        <f>472+120</f>
        <v>592</v>
      </c>
      <c r="I47" s="6">
        <f>546.65+240</f>
        <v>786.65</v>
      </c>
      <c r="J47" s="6" t="s">
        <v>121</v>
      </c>
      <c r="K47" s="6"/>
      <c r="L47" s="6"/>
    </row>
    <row r="48" spans="1:12" ht="13.8" x14ac:dyDescent="0.3">
      <c r="A48" s="6">
        <f t="shared" si="0"/>
        <v>45</v>
      </c>
      <c r="B48" s="7" t="s">
        <v>8</v>
      </c>
      <c r="C48" s="7" t="s">
        <v>42</v>
      </c>
      <c r="D48" s="6">
        <v>9</v>
      </c>
      <c r="E48" s="7" t="s">
        <v>63</v>
      </c>
      <c r="F48" s="7" t="s">
        <v>97</v>
      </c>
      <c r="G48" s="7" t="s">
        <v>7</v>
      </c>
      <c r="H48" s="6">
        <f>1020</f>
        <v>1020</v>
      </c>
      <c r="I48" s="6">
        <f>3157.69</f>
        <v>3157.69</v>
      </c>
      <c r="J48" s="6" t="s">
        <v>121</v>
      </c>
      <c r="K48" s="6">
        <v>468</v>
      </c>
      <c r="L48" s="6">
        <v>25</v>
      </c>
    </row>
    <row r="49" spans="1:12" ht="13.8" x14ac:dyDescent="0.3">
      <c r="A49" s="6">
        <f t="shared" si="0"/>
        <v>46</v>
      </c>
      <c r="B49" s="7" t="s">
        <v>5</v>
      </c>
      <c r="C49" s="7" t="s">
        <v>42</v>
      </c>
      <c r="D49" s="6">
        <v>3</v>
      </c>
      <c r="E49" s="7" t="s">
        <v>57</v>
      </c>
      <c r="F49" s="8" t="s">
        <v>103</v>
      </c>
      <c r="G49" s="7" t="s">
        <v>7</v>
      </c>
      <c r="H49" s="6">
        <v>90</v>
      </c>
      <c r="I49" s="6">
        <f>389.54+70+60</f>
        <v>519.54</v>
      </c>
      <c r="J49" s="6" t="s">
        <v>121</v>
      </c>
      <c r="K49" s="6"/>
      <c r="L49" s="6">
        <v>4.4000000000000004</v>
      </c>
    </row>
    <row r="50" spans="1:12" ht="13.8" x14ac:dyDescent="0.3">
      <c r="A50" s="6">
        <f t="shared" si="0"/>
        <v>47</v>
      </c>
      <c r="B50" s="7" t="s">
        <v>8</v>
      </c>
      <c r="C50" s="7" t="s">
        <v>42</v>
      </c>
      <c r="D50" s="6">
        <v>4</v>
      </c>
      <c r="E50" s="7" t="s">
        <v>64</v>
      </c>
      <c r="F50" s="7" t="s">
        <v>100</v>
      </c>
      <c r="G50" s="7" t="s">
        <v>10</v>
      </c>
      <c r="H50" s="6">
        <v>150</v>
      </c>
      <c r="I50" s="6">
        <f>387.93+470.35</f>
        <v>858.28</v>
      </c>
      <c r="J50" s="6" t="s">
        <v>121</v>
      </c>
      <c r="K50" s="6">
        <v>200</v>
      </c>
      <c r="L50" s="6">
        <f>40+5.28</f>
        <v>45.28</v>
      </c>
    </row>
    <row r="51" spans="1:12" ht="13.8" x14ac:dyDescent="0.3">
      <c r="A51" s="6">
        <f t="shared" si="0"/>
        <v>48</v>
      </c>
      <c r="B51" s="7" t="s">
        <v>28</v>
      </c>
      <c r="C51" s="7" t="s">
        <v>42</v>
      </c>
      <c r="D51" s="6">
        <v>3</v>
      </c>
      <c r="E51" s="7" t="s">
        <v>13</v>
      </c>
      <c r="F51" s="7" t="s">
        <v>95</v>
      </c>
      <c r="G51" s="7" t="s">
        <v>7</v>
      </c>
      <c r="H51" s="6">
        <v>180</v>
      </c>
      <c r="I51" s="6">
        <f>271.83</f>
        <v>271.83</v>
      </c>
      <c r="J51" s="6" t="s">
        <v>121</v>
      </c>
      <c r="K51" s="6"/>
      <c r="L51" s="6">
        <f>44.11</f>
        <v>44.11</v>
      </c>
    </row>
    <row r="52" spans="1:12" ht="13.8" x14ac:dyDescent="0.3">
      <c r="A52" s="6">
        <f t="shared" si="0"/>
        <v>49</v>
      </c>
      <c r="B52" s="7" t="s">
        <v>5</v>
      </c>
      <c r="C52" s="7" t="s">
        <v>42</v>
      </c>
      <c r="D52" s="6">
        <v>5</v>
      </c>
      <c r="E52" s="7" t="s">
        <v>57</v>
      </c>
      <c r="F52" s="7" t="s">
        <v>102</v>
      </c>
      <c r="G52" s="7" t="s">
        <v>7</v>
      </c>
      <c r="H52" s="6"/>
      <c r="I52" s="6">
        <f>632.32</f>
        <v>632.32000000000005</v>
      </c>
      <c r="J52" s="6" t="s">
        <v>121</v>
      </c>
      <c r="K52" s="6"/>
      <c r="L52" s="6"/>
    </row>
    <row r="53" spans="1:12" ht="13.8" x14ac:dyDescent="0.3">
      <c r="A53" s="6">
        <f t="shared" si="0"/>
        <v>50</v>
      </c>
      <c r="B53" s="7" t="s">
        <v>5</v>
      </c>
      <c r="C53" s="7" t="s">
        <v>42</v>
      </c>
      <c r="D53" s="6">
        <v>4</v>
      </c>
      <c r="E53" s="7" t="s">
        <v>57</v>
      </c>
      <c r="F53" s="7" t="s">
        <v>97</v>
      </c>
      <c r="G53" s="7" t="s">
        <v>109</v>
      </c>
      <c r="H53" s="6"/>
      <c r="I53" s="6">
        <f>595.65</f>
        <v>595.65</v>
      </c>
      <c r="J53" s="6" t="s">
        <v>121</v>
      </c>
      <c r="K53" s="6"/>
      <c r="L53" s="6">
        <v>7</v>
      </c>
    </row>
    <row r="54" spans="1:12" ht="13.8" x14ac:dyDescent="0.3">
      <c r="A54" s="6">
        <f t="shared" si="0"/>
        <v>51</v>
      </c>
      <c r="B54" s="7" t="s">
        <v>8</v>
      </c>
      <c r="C54" s="7" t="s">
        <v>42</v>
      </c>
      <c r="D54" s="6">
        <v>4</v>
      </c>
      <c r="E54" s="7" t="s">
        <v>65</v>
      </c>
      <c r="F54" s="7" t="s">
        <v>96</v>
      </c>
      <c r="G54" s="7" t="s">
        <v>10</v>
      </c>
      <c r="H54" s="6">
        <v>260</v>
      </c>
      <c r="I54" s="6">
        <v>361.74</v>
      </c>
      <c r="J54" s="6" t="s">
        <v>121</v>
      </c>
      <c r="K54" s="6">
        <v>140</v>
      </c>
      <c r="L54" s="6">
        <f>54.6</f>
        <v>54.6</v>
      </c>
    </row>
    <row r="55" spans="1:12" ht="13.8" x14ac:dyDescent="0.3">
      <c r="A55" s="6">
        <f t="shared" si="0"/>
        <v>52</v>
      </c>
      <c r="B55" s="7" t="s">
        <v>21</v>
      </c>
      <c r="C55" s="7" t="s">
        <v>42</v>
      </c>
      <c r="D55" s="6">
        <v>10</v>
      </c>
      <c r="E55" s="7" t="s">
        <v>66</v>
      </c>
      <c r="F55" s="7" t="s">
        <v>98</v>
      </c>
      <c r="G55" s="7" t="s">
        <v>7</v>
      </c>
      <c r="H55" s="6">
        <f>480+1100</f>
        <v>1580</v>
      </c>
      <c r="I55" s="6">
        <f>468.51+292.17+532.79</f>
        <v>1293.47</v>
      </c>
      <c r="J55" s="6" t="s">
        <v>121</v>
      </c>
      <c r="K55" s="6">
        <v>600</v>
      </c>
      <c r="L55" s="6">
        <f>1116</f>
        <v>1116</v>
      </c>
    </row>
    <row r="56" spans="1:12" ht="13.8" x14ac:dyDescent="0.3">
      <c r="A56" s="6">
        <f t="shared" si="0"/>
        <v>53</v>
      </c>
      <c r="B56" s="7" t="s">
        <v>120</v>
      </c>
      <c r="C56" s="7" t="s">
        <v>42</v>
      </c>
      <c r="D56" s="6">
        <v>2</v>
      </c>
      <c r="E56" s="7" t="s">
        <v>53</v>
      </c>
      <c r="F56" s="7" t="s">
        <v>96</v>
      </c>
      <c r="G56" s="7" t="s">
        <v>7</v>
      </c>
      <c r="H56" s="6">
        <v>235</v>
      </c>
      <c r="I56" s="6">
        <v>350.82</v>
      </c>
      <c r="J56" s="6" t="s">
        <v>121</v>
      </c>
      <c r="K56" s="6">
        <v>120</v>
      </c>
      <c r="L56" s="6">
        <v>34.4</v>
      </c>
    </row>
    <row r="57" spans="1:12" ht="13.8" x14ac:dyDescent="0.3">
      <c r="A57" s="6">
        <f t="shared" si="0"/>
        <v>54</v>
      </c>
      <c r="B57" s="7" t="s">
        <v>5</v>
      </c>
      <c r="C57" s="7" t="s">
        <v>42</v>
      </c>
      <c r="D57" s="6">
        <v>4</v>
      </c>
      <c r="E57" s="7" t="s">
        <v>13</v>
      </c>
      <c r="F57" s="9" t="s">
        <v>95</v>
      </c>
      <c r="G57" s="7" t="s">
        <v>7</v>
      </c>
      <c r="H57" s="6"/>
      <c r="I57" s="6">
        <f>386.92</f>
        <v>386.92</v>
      </c>
      <c r="J57" s="6" t="s">
        <v>121</v>
      </c>
      <c r="K57" s="6"/>
      <c r="L57" s="6"/>
    </row>
    <row r="58" spans="1:12" ht="13.8" x14ac:dyDescent="0.3">
      <c r="A58" s="6">
        <f t="shared" si="0"/>
        <v>55</v>
      </c>
      <c r="B58" s="7" t="s">
        <v>8</v>
      </c>
      <c r="C58" s="7" t="s">
        <v>42</v>
      </c>
      <c r="D58" s="6">
        <v>7</v>
      </c>
      <c r="E58" s="7" t="s">
        <v>58</v>
      </c>
      <c r="F58" s="7" t="s">
        <v>100</v>
      </c>
      <c r="G58" s="7" t="s">
        <v>105</v>
      </c>
      <c r="H58" s="6">
        <v>1170</v>
      </c>
      <c r="I58" s="6">
        <v>1655.16</v>
      </c>
      <c r="J58" s="6" t="s">
        <v>121</v>
      </c>
      <c r="K58" s="6">
        <v>350</v>
      </c>
      <c r="L58" s="6">
        <f>73.82</f>
        <v>73.819999999999993</v>
      </c>
    </row>
    <row r="59" spans="1:12" ht="13.8" x14ac:dyDescent="0.3">
      <c r="A59" s="6">
        <f t="shared" si="0"/>
        <v>56</v>
      </c>
      <c r="B59" s="7" t="s">
        <v>8</v>
      </c>
      <c r="C59" s="7" t="s">
        <v>42</v>
      </c>
      <c r="D59" s="6">
        <v>7</v>
      </c>
      <c r="E59" s="7" t="s">
        <v>67</v>
      </c>
      <c r="F59" s="7" t="s">
        <v>100</v>
      </c>
      <c r="G59" s="7" t="s">
        <v>107</v>
      </c>
      <c r="H59" s="6">
        <v>1225</v>
      </c>
      <c r="I59" s="6">
        <f>1063.98</f>
        <v>1063.98</v>
      </c>
      <c r="J59" s="6" t="s">
        <v>121</v>
      </c>
      <c r="K59" s="6">
        <v>420</v>
      </c>
      <c r="L59" s="6">
        <f>98.55</f>
        <v>98.55</v>
      </c>
    </row>
    <row r="60" spans="1:12" ht="13.8" x14ac:dyDescent="0.3">
      <c r="A60" s="6">
        <f t="shared" si="0"/>
        <v>57</v>
      </c>
      <c r="B60" s="7" t="s">
        <v>8</v>
      </c>
      <c r="C60" s="7" t="s">
        <v>42</v>
      </c>
      <c r="D60" s="6">
        <v>7</v>
      </c>
      <c r="E60" s="7" t="s">
        <v>67</v>
      </c>
      <c r="F60" s="7" t="s">
        <v>100</v>
      </c>
      <c r="G60" s="7" t="s">
        <v>107</v>
      </c>
      <c r="H60" s="6">
        <v>1225</v>
      </c>
      <c r="I60" s="6">
        <f>1431.01</f>
        <v>1431.01</v>
      </c>
      <c r="J60" s="6" t="s">
        <v>121</v>
      </c>
      <c r="K60" s="6">
        <v>420</v>
      </c>
      <c r="L60" s="6">
        <v>69.94</v>
      </c>
    </row>
    <row r="61" spans="1:12" ht="13.8" x14ac:dyDescent="0.3">
      <c r="A61" s="6">
        <f t="shared" si="0"/>
        <v>58</v>
      </c>
      <c r="B61" s="7" t="s">
        <v>30</v>
      </c>
      <c r="C61" s="7" t="s">
        <v>42</v>
      </c>
      <c r="D61" s="6">
        <v>5</v>
      </c>
      <c r="E61" s="7" t="s">
        <v>67</v>
      </c>
      <c r="F61" s="7" t="s">
        <v>100</v>
      </c>
      <c r="G61" s="7" t="s">
        <v>7</v>
      </c>
      <c r="H61" s="6">
        <v>750</v>
      </c>
      <c r="I61" s="6">
        <v>1340.47</v>
      </c>
      <c r="J61" s="6" t="s">
        <v>121</v>
      </c>
      <c r="K61" s="6">
        <f>300+60</f>
        <v>360</v>
      </c>
      <c r="L61" s="6">
        <f>18.11+9.8</f>
        <v>27.91</v>
      </c>
    </row>
    <row r="62" spans="1:12" ht="13.8" x14ac:dyDescent="0.3">
      <c r="A62" s="6">
        <f t="shared" si="0"/>
        <v>59</v>
      </c>
      <c r="B62" s="7" t="s">
        <v>8</v>
      </c>
      <c r="C62" s="7" t="s">
        <v>42</v>
      </c>
      <c r="D62" s="6">
        <v>6</v>
      </c>
      <c r="E62" s="7" t="s">
        <v>61</v>
      </c>
      <c r="F62" s="7" t="s">
        <v>100</v>
      </c>
      <c r="G62" s="7" t="s">
        <v>105</v>
      </c>
      <c r="H62" s="6">
        <f>850</f>
        <v>850</v>
      </c>
      <c r="I62" s="6">
        <f>239.82+198.04</f>
        <v>437.86</v>
      </c>
      <c r="J62" s="6" t="s">
        <v>121</v>
      </c>
      <c r="K62" s="6">
        <v>300</v>
      </c>
      <c r="L62" s="6">
        <f>84.79+48</f>
        <v>132.79000000000002</v>
      </c>
    </row>
    <row r="63" spans="1:12" ht="13.8" x14ac:dyDescent="0.3">
      <c r="A63" s="6">
        <f t="shared" si="0"/>
        <v>60</v>
      </c>
      <c r="B63" s="7" t="s">
        <v>11</v>
      </c>
      <c r="C63" s="7" t="s">
        <v>42</v>
      </c>
      <c r="D63" s="6">
        <v>4</v>
      </c>
      <c r="E63" s="7" t="s">
        <v>68</v>
      </c>
      <c r="F63" s="7" t="s">
        <v>97</v>
      </c>
      <c r="G63" s="7" t="s">
        <v>7</v>
      </c>
      <c r="H63" s="6">
        <v>600</v>
      </c>
      <c r="I63" s="6">
        <v>395.86</v>
      </c>
      <c r="J63" s="6" t="s">
        <v>121</v>
      </c>
      <c r="K63" s="6">
        <v>240</v>
      </c>
      <c r="L63" s="6">
        <f>58.8</f>
        <v>58.8</v>
      </c>
    </row>
    <row r="64" spans="1:12" ht="13.8" x14ac:dyDescent="0.3">
      <c r="A64" s="6">
        <f t="shared" si="0"/>
        <v>61</v>
      </c>
      <c r="B64" s="7" t="s">
        <v>5</v>
      </c>
      <c r="C64" s="7" t="s">
        <v>42</v>
      </c>
      <c r="D64" s="6">
        <v>4</v>
      </c>
      <c r="E64" s="7" t="s">
        <v>13</v>
      </c>
      <c r="F64" s="9" t="s">
        <v>95</v>
      </c>
      <c r="G64" s="7" t="s">
        <v>109</v>
      </c>
      <c r="H64" s="6"/>
      <c r="I64" s="6"/>
      <c r="J64" s="6"/>
      <c r="K64" s="6"/>
      <c r="L64" s="6">
        <f>90.44</f>
        <v>90.44</v>
      </c>
    </row>
    <row r="65" spans="1:12" ht="13.8" x14ac:dyDescent="0.3">
      <c r="A65" s="6">
        <f t="shared" si="0"/>
        <v>62</v>
      </c>
      <c r="B65" s="7" t="s">
        <v>5</v>
      </c>
      <c r="C65" s="7" t="s">
        <v>42</v>
      </c>
      <c r="D65" s="6">
        <v>3</v>
      </c>
      <c r="E65" s="7" t="s">
        <v>13</v>
      </c>
      <c r="F65" s="7" t="s">
        <v>95</v>
      </c>
      <c r="G65" s="7" t="s">
        <v>7</v>
      </c>
      <c r="H65" s="6">
        <v>354</v>
      </c>
      <c r="I65" s="6">
        <f>270.96</f>
        <v>270.95999999999998</v>
      </c>
      <c r="J65" s="6" t="s">
        <v>121</v>
      </c>
      <c r="K65" s="6"/>
      <c r="L65" s="6"/>
    </row>
    <row r="66" spans="1:12" ht="13.8" x14ac:dyDescent="0.3">
      <c r="A66" s="6">
        <f t="shared" si="0"/>
        <v>63</v>
      </c>
      <c r="B66" s="7" t="s">
        <v>8</v>
      </c>
      <c r="C66" s="7" t="s">
        <v>42</v>
      </c>
      <c r="D66" s="6">
        <v>3</v>
      </c>
      <c r="E66" s="7" t="s">
        <v>49</v>
      </c>
      <c r="F66" s="7" t="s">
        <v>96</v>
      </c>
      <c r="G66" s="7" t="s">
        <v>10</v>
      </c>
      <c r="H66" s="6">
        <f>165+135</f>
        <v>300</v>
      </c>
      <c r="I66" s="6">
        <f>259.51</f>
        <v>259.51</v>
      </c>
      <c r="J66" s="6" t="s">
        <v>121</v>
      </c>
      <c r="K66" s="6">
        <v>150</v>
      </c>
      <c r="L66" s="6">
        <f>61.03</f>
        <v>61.03</v>
      </c>
    </row>
    <row r="67" spans="1:12" ht="13.8" x14ac:dyDescent="0.3">
      <c r="A67" s="6">
        <f t="shared" si="0"/>
        <v>64</v>
      </c>
      <c r="B67" s="7" t="s">
        <v>21</v>
      </c>
      <c r="C67" s="7" t="s">
        <v>42</v>
      </c>
      <c r="D67" s="6">
        <v>3</v>
      </c>
      <c r="E67" s="7" t="s">
        <v>68</v>
      </c>
      <c r="F67" s="7" t="s">
        <v>96</v>
      </c>
      <c r="G67" s="7" t="s">
        <v>7</v>
      </c>
      <c r="H67" s="6">
        <f>470</f>
        <v>470</v>
      </c>
      <c r="I67" s="6">
        <f>232.86</f>
        <v>232.86</v>
      </c>
      <c r="J67" s="6" t="s">
        <v>121</v>
      </c>
      <c r="K67" s="6">
        <v>180</v>
      </c>
      <c r="L67" s="6">
        <v>51.74</v>
      </c>
    </row>
    <row r="68" spans="1:12" ht="13.8" x14ac:dyDescent="0.3">
      <c r="A68" s="6">
        <f t="shared" si="0"/>
        <v>65</v>
      </c>
      <c r="B68" s="7" t="s">
        <v>8</v>
      </c>
      <c r="C68" s="7" t="s">
        <v>42</v>
      </c>
      <c r="D68" s="6">
        <v>3</v>
      </c>
      <c r="E68" s="7" t="s">
        <v>69</v>
      </c>
      <c r="F68" s="7" t="s">
        <v>95</v>
      </c>
      <c r="G68" s="7" t="s">
        <v>10</v>
      </c>
      <c r="H68" s="6">
        <f>480</f>
        <v>480</v>
      </c>
      <c r="I68" s="6">
        <f>189.98</f>
        <v>189.98</v>
      </c>
      <c r="J68" s="6" t="s">
        <v>121</v>
      </c>
      <c r="K68" s="6">
        <v>195</v>
      </c>
      <c r="L68" s="6">
        <f>53.23</f>
        <v>53.23</v>
      </c>
    </row>
    <row r="69" spans="1:12" ht="13.8" x14ac:dyDescent="0.3">
      <c r="A69" s="6">
        <f t="shared" ref="A69:A131" si="1">ROW()-3</f>
        <v>66</v>
      </c>
      <c r="B69" s="7" t="s">
        <v>5</v>
      </c>
      <c r="C69" s="7" t="s">
        <v>42</v>
      </c>
      <c r="D69" s="6">
        <v>4</v>
      </c>
      <c r="E69" s="7" t="s">
        <v>13</v>
      </c>
      <c r="F69" s="7" t="s">
        <v>95</v>
      </c>
      <c r="G69" s="7" t="s">
        <v>7</v>
      </c>
      <c r="H69" s="6"/>
      <c r="I69" s="6">
        <v>285.92</v>
      </c>
      <c r="J69" s="6" t="s">
        <v>121</v>
      </c>
      <c r="K69" s="6"/>
      <c r="L69" s="6"/>
    </row>
    <row r="70" spans="1:12" ht="13.8" x14ac:dyDescent="0.3">
      <c r="A70" s="6">
        <f t="shared" si="1"/>
        <v>67</v>
      </c>
      <c r="B70" s="7" t="s">
        <v>24</v>
      </c>
      <c r="C70" s="7" t="s">
        <v>43</v>
      </c>
      <c r="D70" s="6">
        <v>10</v>
      </c>
      <c r="E70" s="7" t="s">
        <v>70</v>
      </c>
      <c r="F70" s="7" t="s">
        <v>101</v>
      </c>
      <c r="G70" s="7" t="s">
        <v>7</v>
      </c>
      <c r="H70" s="6">
        <v>1400</v>
      </c>
      <c r="I70" s="6">
        <f>2481.55</f>
        <v>2481.5500000000002</v>
      </c>
      <c r="J70" s="6" t="s">
        <v>121</v>
      </c>
      <c r="K70" s="6">
        <v>500</v>
      </c>
      <c r="L70" s="6">
        <f>17.5+48.29</f>
        <v>65.789999999999992</v>
      </c>
    </row>
    <row r="71" spans="1:12" ht="13.8" x14ac:dyDescent="0.3">
      <c r="A71" s="6">
        <f t="shared" si="1"/>
        <v>68</v>
      </c>
      <c r="B71" s="7" t="s">
        <v>17</v>
      </c>
      <c r="C71" s="7" t="s">
        <v>43</v>
      </c>
      <c r="D71" s="6">
        <v>10</v>
      </c>
      <c r="E71" s="7" t="s">
        <v>71</v>
      </c>
      <c r="F71" s="7" t="s">
        <v>101</v>
      </c>
      <c r="G71" s="7" t="s">
        <v>7</v>
      </c>
      <c r="H71" s="6">
        <f>1400-80.54</f>
        <v>1319.46</v>
      </c>
      <c r="I71" s="6">
        <f>2481.55</f>
        <v>2481.5500000000002</v>
      </c>
      <c r="J71" s="6" t="s">
        <v>121</v>
      </c>
      <c r="K71" s="6">
        <v>500</v>
      </c>
      <c r="L71" s="6">
        <f>133.81+17.5</f>
        <v>151.31</v>
      </c>
    </row>
    <row r="72" spans="1:12" ht="13.8" x14ac:dyDescent="0.3">
      <c r="A72" s="6">
        <f t="shared" si="1"/>
        <v>69</v>
      </c>
      <c r="B72" s="7" t="s">
        <v>8</v>
      </c>
      <c r="C72" s="7" t="s">
        <v>43</v>
      </c>
      <c r="D72" s="6">
        <v>5</v>
      </c>
      <c r="E72" s="7" t="s">
        <v>69</v>
      </c>
      <c r="F72" s="7" t="s">
        <v>100</v>
      </c>
      <c r="G72" s="7" t="s">
        <v>10</v>
      </c>
      <c r="H72" s="6">
        <v>1220</v>
      </c>
      <c r="I72" s="6">
        <v>314.93</v>
      </c>
      <c r="J72" s="6" t="s">
        <v>121</v>
      </c>
      <c r="K72" s="6">
        <v>325</v>
      </c>
      <c r="L72" s="6">
        <f>121.8+3</f>
        <v>124.8</v>
      </c>
    </row>
    <row r="73" spans="1:12" ht="13.8" x14ac:dyDescent="0.3">
      <c r="A73" s="6">
        <f t="shared" si="1"/>
        <v>70</v>
      </c>
      <c r="B73" s="7" t="s">
        <v>8</v>
      </c>
      <c r="C73" s="7" t="s">
        <v>43</v>
      </c>
      <c r="D73" s="6">
        <v>3</v>
      </c>
      <c r="E73" s="7" t="s">
        <v>72</v>
      </c>
      <c r="F73" s="7" t="s">
        <v>98</v>
      </c>
      <c r="G73" s="7" t="s">
        <v>105</v>
      </c>
      <c r="H73" s="6">
        <f>400</f>
        <v>400</v>
      </c>
      <c r="I73" s="6">
        <f>183.92</f>
        <v>183.92</v>
      </c>
      <c r="J73" s="6" t="s">
        <v>121</v>
      </c>
      <c r="K73" s="6">
        <v>165</v>
      </c>
      <c r="L73" s="6"/>
    </row>
    <row r="74" spans="1:12" ht="13.8" x14ac:dyDescent="0.3">
      <c r="A74" s="6">
        <f t="shared" si="1"/>
        <v>71</v>
      </c>
      <c r="B74" s="7" t="s">
        <v>22</v>
      </c>
      <c r="C74" s="7" t="s">
        <v>43</v>
      </c>
      <c r="D74" s="6">
        <v>5</v>
      </c>
      <c r="E74" s="7" t="s">
        <v>73</v>
      </c>
      <c r="F74" s="7" t="s">
        <v>95</v>
      </c>
      <c r="G74" s="7" t="s">
        <v>32</v>
      </c>
      <c r="H74" s="6">
        <f>712</f>
        <v>712</v>
      </c>
      <c r="I74" s="6">
        <v>350.92</v>
      </c>
      <c r="J74" s="6" t="s">
        <v>121</v>
      </c>
      <c r="K74" s="6">
        <v>250</v>
      </c>
      <c r="L74" s="6">
        <f>40+62.97</f>
        <v>102.97</v>
      </c>
    </row>
    <row r="75" spans="1:12" ht="13.8" x14ac:dyDescent="0.3">
      <c r="A75" s="6">
        <f t="shared" si="1"/>
        <v>72</v>
      </c>
      <c r="B75" s="7" t="s">
        <v>21</v>
      </c>
      <c r="C75" s="20" t="s">
        <v>43</v>
      </c>
      <c r="D75" s="21">
        <v>5</v>
      </c>
      <c r="E75" s="20" t="s">
        <v>74</v>
      </c>
      <c r="F75" s="20" t="s">
        <v>98</v>
      </c>
      <c r="G75" s="20" t="s">
        <v>7</v>
      </c>
      <c r="H75" s="6">
        <f>820</f>
        <v>820</v>
      </c>
      <c r="I75" s="6">
        <v>336.65</v>
      </c>
      <c r="J75" s="6" t="s">
        <v>121</v>
      </c>
      <c r="K75" s="6">
        <v>300</v>
      </c>
      <c r="L75" s="6">
        <f>4761.36+4.5-100.91</f>
        <v>4664.95</v>
      </c>
    </row>
    <row r="76" spans="1:12" ht="13.8" x14ac:dyDescent="0.3">
      <c r="A76" s="6">
        <f t="shared" si="1"/>
        <v>73</v>
      </c>
      <c r="B76" s="7" t="s">
        <v>24</v>
      </c>
      <c r="C76" s="7" t="s">
        <v>43</v>
      </c>
      <c r="D76" s="6">
        <v>4</v>
      </c>
      <c r="E76" s="7" t="s">
        <v>69</v>
      </c>
      <c r="F76" s="7" t="s">
        <v>98</v>
      </c>
      <c r="G76" s="7" t="s">
        <v>7</v>
      </c>
      <c r="H76" s="6">
        <v>978</v>
      </c>
      <c r="I76" s="6">
        <v>234.85</v>
      </c>
      <c r="J76" s="6" t="s">
        <v>121</v>
      </c>
      <c r="K76" s="6">
        <v>260</v>
      </c>
      <c r="L76" s="6">
        <f>3+44.86+754.99</f>
        <v>802.85</v>
      </c>
    </row>
    <row r="77" spans="1:12" ht="13.8" x14ac:dyDescent="0.3">
      <c r="A77" s="6">
        <f t="shared" si="1"/>
        <v>74</v>
      </c>
      <c r="B77" s="7" t="s">
        <v>16</v>
      </c>
      <c r="C77" s="7" t="s">
        <v>43</v>
      </c>
      <c r="D77" s="6">
        <v>4</v>
      </c>
      <c r="E77" s="7" t="s">
        <v>69</v>
      </c>
      <c r="F77" s="7" t="s">
        <v>98</v>
      </c>
      <c r="G77" s="7" t="s">
        <v>7</v>
      </c>
      <c r="H77" s="6">
        <f>978</f>
        <v>978</v>
      </c>
      <c r="I77" s="6">
        <f>187.79</f>
        <v>187.79</v>
      </c>
      <c r="J77" s="6" t="s">
        <v>121</v>
      </c>
      <c r="K77" s="6">
        <v>260</v>
      </c>
      <c r="L77" s="6">
        <f>3+763.3+65.35</f>
        <v>831.65</v>
      </c>
    </row>
    <row r="78" spans="1:12" ht="13.8" x14ac:dyDescent="0.3">
      <c r="A78" s="6">
        <f t="shared" si="1"/>
        <v>75</v>
      </c>
      <c r="B78" s="7" t="s">
        <v>33</v>
      </c>
      <c r="C78" s="7" t="s">
        <v>43</v>
      </c>
      <c r="D78" s="6">
        <v>6</v>
      </c>
      <c r="E78" s="7" t="s">
        <v>51</v>
      </c>
      <c r="F78" s="7" t="s">
        <v>94</v>
      </c>
      <c r="G78" s="7" t="s">
        <v>7</v>
      </c>
      <c r="H78" s="6">
        <v>980</v>
      </c>
      <c r="I78" s="6">
        <f>1737.89</f>
        <v>1737.89</v>
      </c>
      <c r="J78" s="6" t="s">
        <v>121</v>
      </c>
      <c r="K78" s="6">
        <v>420</v>
      </c>
      <c r="L78" s="6">
        <f>9.2+126+23.44</f>
        <v>158.63999999999999</v>
      </c>
    </row>
    <row r="79" spans="1:12" ht="13.8" x14ac:dyDescent="0.3">
      <c r="A79" s="6">
        <f t="shared" si="1"/>
        <v>76</v>
      </c>
      <c r="B79" s="7" t="s">
        <v>30</v>
      </c>
      <c r="C79" s="7" t="s">
        <v>43</v>
      </c>
      <c r="D79" s="6">
        <v>4</v>
      </c>
      <c r="E79" s="7" t="s">
        <v>75</v>
      </c>
      <c r="F79" s="7" t="s">
        <v>103</v>
      </c>
      <c r="G79" s="7" t="s">
        <v>7</v>
      </c>
      <c r="H79" s="6">
        <f>320</f>
        <v>320</v>
      </c>
      <c r="I79" s="6">
        <v>664.57</v>
      </c>
      <c r="J79" s="6" t="s">
        <v>121</v>
      </c>
      <c r="K79" s="6">
        <v>160</v>
      </c>
      <c r="L79" s="6">
        <f>20.99+3</f>
        <v>23.99</v>
      </c>
    </row>
    <row r="80" spans="1:12" ht="13.8" x14ac:dyDescent="0.3">
      <c r="A80" s="6">
        <f t="shared" si="1"/>
        <v>77</v>
      </c>
      <c r="B80" s="7" t="s">
        <v>5</v>
      </c>
      <c r="C80" s="7" t="s">
        <v>43</v>
      </c>
      <c r="D80" s="6">
        <v>2</v>
      </c>
      <c r="E80" s="7" t="s">
        <v>76</v>
      </c>
      <c r="F80" s="7" t="s">
        <v>97</v>
      </c>
      <c r="G80" s="7" t="s">
        <v>7</v>
      </c>
      <c r="H80" s="6">
        <v>130</v>
      </c>
      <c r="I80" s="6">
        <f>238.1</f>
        <v>238.1</v>
      </c>
      <c r="J80" s="6" t="s">
        <v>121</v>
      </c>
      <c r="K80" s="6"/>
      <c r="L80" s="6">
        <f>100-100+46.44-46.44+46.44-46.44+46.44+4.6</f>
        <v>51.04</v>
      </c>
    </row>
    <row r="81" spans="1:12" ht="13.8" x14ac:dyDescent="0.3">
      <c r="A81" s="6">
        <f t="shared" si="1"/>
        <v>78</v>
      </c>
      <c r="B81" s="7" t="s">
        <v>8</v>
      </c>
      <c r="C81" s="7" t="s">
        <v>43</v>
      </c>
      <c r="D81" s="6">
        <v>4</v>
      </c>
      <c r="E81" s="7" t="s">
        <v>77</v>
      </c>
      <c r="F81" s="7" t="s">
        <v>95</v>
      </c>
      <c r="G81" s="7" t="s">
        <v>10</v>
      </c>
      <c r="H81" s="6">
        <v>160</v>
      </c>
      <c r="I81" s="6">
        <f>387.6</f>
        <v>387.6</v>
      </c>
      <c r="J81" s="6" t="s">
        <v>121</v>
      </c>
      <c r="K81" s="6">
        <v>200</v>
      </c>
      <c r="L81" s="6">
        <f>6+50.08</f>
        <v>56.08</v>
      </c>
    </row>
    <row r="82" spans="1:12" ht="13.8" x14ac:dyDescent="0.3">
      <c r="A82" s="6">
        <f t="shared" si="1"/>
        <v>79</v>
      </c>
      <c r="B82" s="7" t="s">
        <v>8</v>
      </c>
      <c r="C82" s="7" t="s">
        <v>43</v>
      </c>
      <c r="D82" s="6">
        <v>7</v>
      </c>
      <c r="E82" s="7" t="s">
        <v>78</v>
      </c>
      <c r="F82" s="7" t="s">
        <v>100</v>
      </c>
      <c r="G82" s="7" t="s">
        <v>107</v>
      </c>
      <c r="H82" s="6">
        <v>1080</v>
      </c>
      <c r="I82" s="6">
        <f>250.05+262.82</f>
        <v>512.87</v>
      </c>
      <c r="J82" s="6" t="s">
        <v>121</v>
      </c>
      <c r="K82" s="6">
        <v>350</v>
      </c>
      <c r="L82" s="6">
        <f>44.5+12</f>
        <v>56.5</v>
      </c>
    </row>
    <row r="83" spans="1:12" ht="13.8" x14ac:dyDescent="0.3">
      <c r="A83" s="6">
        <f t="shared" si="1"/>
        <v>80</v>
      </c>
      <c r="B83" s="7" t="s">
        <v>8</v>
      </c>
      <c r="C83" s="7" t="s">
        <v>43</v>
      </c>
      <c r="D83" s="6">
        <v>8</v>
      </c>
      <c r="E83" s="7" t="s">
        <v>79</v>
      </c>
      <c r="F83" s="7" t="s">
        <v>100</v>
      </c>
      <c r="G83" s="7" t="s">
        <v>34</v>
      </c>
      <c r="H83" s="6">
        <v>1200</v>
      </c>
      <c r="I83" s="6">
        <v>360.55</v>
      </c>
      <c r="J83" s="6" t="s">
        <v>121</v>
      </c>
      <c r="K83" s="6">
        <v>400</v>
      </c>
      <c r="L83" s="6">
        <f>12+14.54</f>
        <v>26.54</v>
      </c>
    </row>
    <row r="84" spans="1:12" ht="13.8" x14ac:dyDescent="0.3">
      <c r="A84" s="6">
        <f t="shared" si="1"/>
        <v>81</v>
      </c>
      <c r="B84" s="7" t="s">
        <v>24</v>
      </c>
      <c r="C84" s="7" t="s">
        <v>43</v>
      </c>
      <c r="D84" s="6">
        <v>5</v>
      </c>
      <c r="E84" s="7" t="s">
        <v>78</v>
      </c>
      <c r="F84" s="7" t="s">
        <v>98</v>
      </c>
      <c r="G84" s="7" t="s">
        <v>107</v>
      </c>
      <c r="H84" s="6">
        <v>720</v>
      </c>
      <c r="I84" s="6">
        <f>866.88</f>
        <v>866.88</v>
      </c>
      <c r="J84" s="6" t="s">
        <v>121</v>
      </c>
      <c r="K84" s="6">
        <v>250</v>
      </c>
      <c r="L84" s="6">
        <f>7.5+34.97</f>
        <v>42.47</v>
      </c>
    </row>
    <row r="85" spans="1:12" ht="13.8" x14ac:dyDescent="0.3">
      <c r="A85" s="6">
        <f t="shared" si="1"/>
        <v>82</v>
      </c>
      <c r="B85" s="7" t="s">
        <v>8</v>
      </c>
      <c r="C85" s="7" t="s">
        <v>43</v>
      </c>
      <c r="D85" s="6">
        <v>5</v>
      </c>
      <c r="E85" s="7" t="s">
        <v>78</v>
      </c>
      <c r="F85" s="7" t="s">
        <v>98</v>
      </c>
      <c r="G85" s="7" t="s">
        <v>105</v>
      </c>
      <c r="H85" s="6">
        <f>720+70*2</f>
        <v>860</v>
      </c>
      <c r="I85" s="6">
        <v>866.88</v>
      </c>
      <c r="J85" s="6" t="s">
        <v>121</v>
      </c>
      <c r="K85" s="6">
        <v>250</v>
      </c>
      <c r="L85" s="6">
        <f>91-42.45+7.5</f>
        <v>56.05</v>
      </c>
    </row>
    <row r="86" spans="1:12" ht="13.8" x14ac:dyDescent="0.3">
      <c r="A86" s="6">
        <f t="shared" si="1"/>
        <v>83</v>
      </c>
      <c r="B86" s="7" t="s">
        <v>8</v>
      </c>
      <c r="C86" s="7" t="s">
        <v>43</v>
      </c>
      <c r="D86" s="6">
        <v>5</v>
      </c>
      <c r="E86" s="7" t="s">
        <v>78</v>
      </c>
      <c r="F86" s="7" t="s">
        <v>98</v>
      </c>
      <c r="G86" s="7" t="s">
        <v>105</v>
      </c>
      <c r="H86" s="6">
        <f>720+70*2</f>
        <v>860</v>
      </c>
      <c r="I86" s="6">
        <v>866.88</v>
      </c>
      <c r="J86" s="6" t="s">
        <v>121</v>
      </c>
      <c r="K86" s="6">
        <v>250</v>
      </c>
      <c r="L86" s="6">
        <f>62.55+7.5</f>
        <v>70.05</v>
      </c>
    </row>
    <row r="87" spans="1:12" ht="13.8" x14ac:dyDescent="0.3">
      <c r="A87" s="6">
        <f t="shared" si="1"/>
        <v>84</v>
      </c>
      <c r="B87" s="7" t="s">
        <v>28</v>
      </c>
      <c r="C87" s="7" t="s">
        <v>43</v>
      </c>
      <c r="D87" s="6">
        <v>3</v>
      </c>
      <c r="E87" s="7" t="s">
        <v>80</v>
      </c>
      <c r="F87" s="7" t="s">
        <v>102</v>
      </c>
      <c r="G87" s="7" t="s">
        <v>7</v>
      </c>
      <c r="H87" s="6">
        <f>338</f>
        <v>338</v>
      </c>
      <c r="I87" s="6">
        <f>267.08</f>
        <v>267.08</v>
      </c>
      <c r="J87" s="6" t="s">
        <v>121</v>
      </c>
      <c r="K87" s="6">
        <v>195</v>
      </c>
      <c r="L87" s="6">
        <f>111.64+4.5</f>
        <v>116.14</v>
      </c>
    </row>
    <row r="88" spans="1:12" ht="13.8" x14ac:dyDescent="0.3">
      <c r="A88" s="6">
        <f t="shared" si="1"/>
        <v>85</v>
      </c>
      <c r="B88" s="7" t="s">
        <v>21</v>
      </c>
      <c r="C88" s="7" t="s">
        <v>43</v>
      </c>
      <c r="D88" s="6">
        <v>6</v>
      </c>
      <c r="E88" s="7" t="s">
        <v>81</v>
      </c>
      <c r="F88" s="7" t="s">
        <v>97</v>
      </c>
      <c r="G88" s="7" t="s">
        <v>7</v>
      </c>
      <c r="H88" s="6">
        <f>1080+175</f>
        <v>1255</v>
      </c>
      <c r="I88" s="6">
        <f>599.97+154.5</f>
        <v>754.47</v>
      </c>
      <c r="J88" s="6" t="s">
        <v>121</v>
      </c>
      <c r="K88" s="6">
        <v>360</v>
      </c>
      <c r="L88" s="6">
        <f>305.31+9+3981.75+82.81</f>
        <v>4378.8700000000008</v>
      </c>
    </row>
    <row r="89" spans="1:12" ht="13.8" x14ac:dyDescent="0.3">
      <c r="A89" s="6">
        <f t="shared" si="1"/>
        <v>86</v>
      </c>
      <c r="B89" s="7" t="s">
        <v>24</v>
      </c>
      <c r="C89" s="7" t="s">
        <v>43</v>
      </c>
      <c r="D89" s="6">
        <v>4</v>
      </c>
      <c r="E89" s="7" t="s">
        <v>78</v>
      </c>
      <c r="F89" s="7" t="s">
        <v>98</v>
      </c>
      <c r="G89" s="7" t="s">
        <v>105</v>
      </c>
      <c r="H89" s="6">
        <v>540</v>
      </c>
      <c r="I89" s="6">
        <v>281.52999999999997</v>
      </c>
      <c r="J89" s="6" t="s">
        <v>121</v>
      </c>
      <c r="K89" s="6">
        <v>200</v>
      </c>
      <c r="L89" s="6">
        <f>35+6</f>
        <v>41</v>
      </c>
    </row>
    <row r="90" spans="1:12" ht="13.8" x14ac:dyDescent="0.3">
      <c r="A90" s="6">
        <f t="shared" si="1"/>
        <v>87</v>
      </c>
      <c r="B90" s="7" t="s">
        <v>8</v>
      </c>
      <c r="C90" s="7" t="s">
        <v>43</v>
      </c>
      <c r="D90" s="6">
        <v>3</v>
      </c>
      <c r="E90" s="7" t="s">
        <v>72</v>
      </c>
      <c r="F90" s="7" t="s">
        <v>98</v>
      </c>
      <c r="G90" s="7" t="s">
        <v>10</v>
      </c>
      <c r="H90" s="6">
        <f>205+190</f>
        <v>395</v>
      </c>
      <c r="I90" s="6">
        <f>188.06+124.6</f>
        <v>312.65999999999997</v>
      </c>
      <c r="J90" s="6" t="s">
        <v>121</v>
      </c>
      <c r="K90" s="6">
        <v>160</v>
      </c>
      <c r="L90" s="6">
        <f>101.28+4.5</f>
        <v>105.78</v>
      </c>
    </row>
    <row r="91" spans="1:12" ht="13.8" x14ac:dyDescent="0.3">
      <c r="A91" s="6">
        <f t="shared" si="1"/>
        <v>88</v>
      </c>
      <c r="B91" s="7" t="s">
        <v>8</v>
      </c>
      <c r="C91" s="7" t="s">
        <v>43</v>
      </c>
      <c r="D91" s="6">
        <v>4</v>
      </c>
      <c r="E91" s="7" t="s">
        <v>81</v>
      </c>
      <c r="F91" s="7" t="s">
        <v>96</v>
      </c>
      <c r="G91" s="7" t="s">
        <v>10</v>
      </c>
      <c r="H91" s="6">
        <f>215+290+240</f>
        <v>745</v>
      </c>
      <c r="I91" s="6">
        <f>216.26+191.45</f>
        <v>407.71</v>
      </c>
      <c r="J91" s="6" t="s">
        <v>121</v>
      </c>
      <c r="K91" s="6">
        <v>240</v>
      </c>
      <c r="L91" s="6">
        <f>6+75.08</f>
        <v>81.08</v>
      </c>
    </row>
    <row r="92" spans="1:12" ht="13.8" x14ac:dyDescent="0.3">
      <c r="A92" s="6">
        <f t="shared" si="1"/>
        <v>89</v>
      </c>
      <c r="B92" s="7" t="s">
        <v>24</v>
      </c>
      <c r="C92" s="7" t="s">
        <v>43</v>
      </c>
      <c r="D92" s="6">
        <v>2</v>
      </c>
      <c r="E92" s="7" t="s">
        <v>25</v>
      </c>
      <c r="F92" s="7" t="s">
        <v>96</v>
      </c>
      <c r="G92" s="7" t="s">
        <v>31</v>
      </c>
      <c r="H92" s="6"/>
      <c r="I92" s="6"/>
      <c r="J92" s="6"/>
      <c r="K92" s="6">
        <v>130</v>
      </c>
      <c r="L92" s="6">
        <f>3</f>
        <v>3</v>
      </c>
    </row>
    <row r="93" spans="1:12" ht="13.8" x14ac:dyDescent="0.3">
      <c r="A93" s="6">
        <f t="shared" si="1"/>
        <v>90</v>
      </c>
      <c r="B93" s="7" t="s">
        <v>35</v>
      </c>
      <c r="C93" s="7" t="s">
        <v>43</v>
      </c>
      <c r="D93" s="6">
        <v>3</v>
      </c>
      <c r="E93" s="7" t="s">
        <v>82</v>
      </c>
      <c r="F93" s="7" t="s">
        <v>94</v>
      </c>
      <c r="G93" s="7" t="s">
        <v>7</v>
      </c>
      <c r="H93" s="6">
        <v>330</v>
      </c>
      <c r="I93" s="6"/>
      <c r="J93" s="6"/>
      <c r="K93" s="6"/>
      <c r="L93" s="6">
        <f>4.5</f>
        <v>4.5</v>
      </c>
    </row>
    <row r="94" spans="1:12" ht="13.8" x14ac:dyDescent="0.3">
      <c r="A94" s="6">
        <f t="shared" si="1"/>
        <v>91</v>
      </c>
      <c r="B94" s="7" t="s">
        <v>8</v>
      </c>
      <c r="C94" s="7" t="s">
        <v>43</v>
      </c>
      <c r="D94" s="6">
        <v>3</v>
      </c>
      <c r="E94" s="7" t="s">
        <v>83</v>
      </c>
      <c r="F94" s="7" t="s">
        <v>95</v>
      </c>
      <c r="G94" s="7" t="s">
        <v>10</v>
      </c>
      <c r="H94" s="6">
        <f>125+190</f>
        <v>315</v>
      </c>
      <c r="I94" s="6">
        <f>143.97+105.6</f>
        <v>249.57</v>
      </c>
      <c r="J94" s="6" t="s">
        <v>121</v>
      </c>
      <c r="K94" s="6">
        <v>190</v>
      </c>
      <c r="L94" s="6">
        <f>4.5+53.46</f>
        <v>57.96</v>
      </c>
    </row>
    <row r="95" spans="1:12" ht="13.8" x14ac:dyDescent="0.3">
      <c r="A95" s="6">
        <f t="shared" si="1"/>
        <v>92</v>
      </c>
      <c r="B95" s="7" t="s">
        <v>36</v>
      </c>
      <c r="C95" s="7" t="s">
        <v>43</v>
      </c>
      <c r="D95" s="6">
        <v>1</v>
      </c>
      <c r="E95" s="7" t="s">
        <v>84</v>
      </c>
      <c r="F95" s="7" t="s">
        <v>95</v>
      </c>
      <c r="G95" s="7" t="s">
        <v>7</v>
      </c>
      <c r="H95" s="6"/>
      <c r="I95" s="6">
        <f>192.06</f>
        <v>192.06</v>
      </c>
      <c r="J95" s="6" t="s">
        <v>121</v>
      </c>
      <c r="K95" s="6">
        <v>50</v>
      </c>
      <c r="L95" s="6">
        <f>1.5+42.76</f>
        <v>44.26</v>
      </c>
    </row>
    <row r="96" spans="1:12" ht="13.8" x14ac:dyDescent="0.3">
      <c r="A96" s="6">
        <f t="shared" si="1"/>
        <v>93</v>
      </c>
      <c r="B96" s="7" t="s">
        <v>8</v>
      </c>
      <c r="C96" s="7" t="s">
        <v>43</v>
      </c>
      <c r="D96" s="6">
        <v>7</v>
      </c>
      <c r="E96" s="7" t="s">
        <v>85</v>
      </c>
      <c r="F96" s="7" t="s">
        <v>100</v>
      </c>
      <c r="G96" s="7" t="s">
        <v>105</v>
      </c>
      <c r="H96" s="6">
        <v>1302</v>
      </c>
      <c r="I96" s="6">
        <v>367.96</v>
      </c>
      <c r="J96" s="6" t="s">
        <v>121</v>
      </c>
      <c r="K96" s="6">
        <v>350</v>
      </c>
      <c r="L96" s="6">
        <f>51.7+10.5</f>
        <v>62.2</v>
      </c>
    </row>
    <row r="97" spans="1:12" ht="13.8" x14ac:dyDescent="0.3">
      <c r="A97" s="6">
        <f t="shared" si="1"/>
        <v>94</v>
      </c>
      <c r="B97" s="7" t="s">
        <v>30</v>
      </c>
      <c r="C97" s="7" t="s">
        <v>43</v>
      </c>
      <c r="D97" s="6">
        <v>3</v>
      </c>
      <c r="E97" s="7" t="s">
        <v>53</v>
      </c>
      <c r="F97" s="7" t="s">
        <v>95</v>
      </c>
      <c r="G97" s="7" t="s">
        <v>7</v>
      </c>
      <c r="H97" s="6">
        <v>280</v>
      </c>
      <c r="I97" s="6">
        <v>655.82</v>
      </c>
      <c r="J97" s="6" t="s">
        <v>121</v>
      </c>
      <c r="K97" s="6">
        <v>180</v>
      </c>
      <c r="L97" s="6">
        <f>41.16+4.5</f>
        <v>45.66</v>
      </c>
    </row>
    <row r="98" spans="1:12" ht="13.8" x14ac:dyDescent="0.3">
      <c r="A98" s="6">
        <f t="shared" si="1"/>
        <v>95</v>
      </c>
      <c r="B98" s="7" t="s">
        <v>8</v>
      </c>
      <c r="C98" s="7" t="s">
        <v>43</v>
      </c>
      <c r="D98" s="6">
        <v>5</v>
      </c>
      <c r="E98" s="7" t="s">
        <v>73</v>
      </c>
      <c r="F98" s="7" t="s">
        <v>100</v>
      </c>
      <c r="G98" s="7" t="s">
        <v>10</v>
      </c>
      <c r="H98" s="6">
        <f>640-32</f>
        <v>608</v>
      </c>
      <c r="I98" s="6">
        <f>418.92</f>
        <v>418.92</v>
      </c>
      <c r="J98" s="6" t="s">
        <v>121</v>
      </c>
      <c r="K98" s="6">
        <v>250</v>
      </c>
      <c r="L98" s="6">
        <f>7.5+80.4</f>
        <v>87.9</v>
      </c>
    </row>
    <row r="99" spans="1:12" ht="13.8" x14ac:dyDescent="0.3">
      <c r="A99" s="6">
        <f t="shared" si="1"/>
        <v>96</v>
      </c>
      <c r="B99" s="7" t="s">
        <v>8</v>
      </c>
      <c r="C99" s="7" t="s">
        <v>43</v>
      </c>
      <c r="D99" s="6">
        <v>5</v>
      </c>
      <c r="E99" s="7" t="s">
        <v>73</v>
      </c>
      <c r="F99" s="7" t="s">
        <v>94</v>
      </c>
      <c r="G99" s="7" t="s">
        <v>10</v>
      </c>
      <c r="H99" s="6">
        <f>640</f>
        <v>640</v>
      </c>
      <c r="I99" s="6">
        <f>418.92</f>
        <v>418.92</v>
      </c>
      <c r="J99" s="6" t="s">
        <v>121</v>
      </c>
      <c r="K99" s="6">
        <v>250</v>
      </c>
      <c r="L99" s="6">
        <f>91.79+7.5</f>
        <v>99.29</v>
      </c>
    </row>
    <row r="100" spans="1:12" ht="13.8" x14ac:dyDescent="0.3">
      <c r="A100" s="6">
        <f t="shared" si="1"/>
        <v>97</v>
      </c>
      <c r="B100" s="7" t="s">
        <v>8</v>
      </c>
      <c r="C100" s="7" t="s">
        <v>43</v>
      </c>
      <c r="D100" s="6">
        <v>1</v>
      </c>
      <c r="E100" s="7" t="s">
        <v>78</v>
      </c>
      <c r="F100" s="7" t="s">
        <v>100</v>
      </c>
      <c r="G100" s="7" t="s">
        <v>107</v>
      </c>
      <c r="H100" s="6"/>
      <c r="I100" s="6"/>
      <c r="J100" s="6"/>
      <c r="K100" s="6"/>
      <c r="L100" s="6">
        <v>1.5</v>
      </c>
    </row>
    <row r="101" spans="1:12" ht="13.8" x14ac:dyDescent="0.3">
      <c r="A101" s="6">
        <f t="shared" si="1"/>
        <v>98</v>
      </c>
      <c r="B101" s="7" t="s">
        <v>19</v>
      </c>
      <c r="C101" s="7" t="s">
        <v>43</v>
      </c>
      <c r="D101" s="6">
        <v>3</v>
      </c>
      <c r="E101" s="7" t="s">
        <v>72</v>
      </c>
      <c r="F101" s="7" t="s">
        <v>98</v>
      </c>
      <c r="G101" s="7" t="s">
        <v>107</v>
      </c>
      <c r="H101" s="6">
        <v>380</v>
      </c>
      <c r="I101" s="6">
        <f>203.92</f>
        <v>203.92</v>
      </c>
      <c r="J101" s="6" t="s">
        <v>121</v>
      </c>
      <c r="K101" s="6">
        <v>165</v>
      </c>
      <c r="L101" s="6">
        <f>4.5+12.2</f>
        <v>16.7</v>
      </c>
    </row>
    <row r="102" spans="1:12" ht="13.8" x14ac:dyDescent="0.3">
      <c r="A102" s="6">
        <f t="shared" si="1"/>
        <v>99</v>
      </c>
      <c r="B102" s="7" t="s">
        <v>24</v>
      </c>
      <c r="C102" s="7" t="s">
        <v>43</v>
      </c>
      <c r="D102" s="6">
        <v>5</v>
      </c>
      <c r="E102" s="7" t="s">
        <v>86</v>
      </c>
      <c r="F102" s="7" t="s">
        <v>96</v>
      </c>
      <c r="G102" s="7" t="s">
        <v>10</v>
      </c>
      <c r="H102" s="6">
        <f>780</f>
        <v>780</v>
      </c>
      <c r="I102" s="6">
        <f>394.62</f>
        <v>394.62</v>
      </c>
      <c r="J102" s="6" t="s">
        <v>121</v>
      </c>
      <c r="K102" s="6">
        <v>325</v>
      </c>
      <c r="L102" s="6">
        <f>94.16+7.5</f>
        <v>101.66</v>
      </c>
    </row>
    <row r="103" spans="1:12" ht="13.8" x14ac:dyDescent="0.3">
      <c r="A103" s="6">
        <f t="shared" si="1"/>
        <v>100</v>
      </c>
      <c r="B103" s="7" t="s">
        <v>8</v>
      </c>
      <c r="C103" s="7" t="s">
        <v>43</v>
      </c>
      <c r="D103" s="6">
        <v>3</v>
      </c>
      <c r="E103" s="7" t="s">
        <v>72</v>
      </c>
      <c r="F103" s="7" t="s">
        <v>98</v>
      </c>
      <c r="G103" s="7" t="s">
        <v>107</v>
      </c>
      <c r="H103" s="6">
        <v>380</v>
      </c>
      <c r="I103" s="6">
        <f>189.92</f>
        <v>189.92</v>
      </c>
      <c r="J103" s="6" t="s">
        <v>121</v>
      </c>
      <c r="K103" s="6">
        <v>165</v>
      </c>
      <c r="L103" s="6">
        <f>4.5+24.4</f>
        <v>28.9</v>
      </c>
    </row>
    <row r="104" spans="1:12" ht="13.8" x14ac:dyDescent="0.3">
      <c r="A104" s="6">
        <f t="shared" si="1"/>
        <v>101</v>
      </c>
      <c r="B104" s="7" t="s">
        <v>9</v>
      </c>
      <c r="C104" s="7" t="s">
        <v>43</v>
      </c>
      <c r="D104" s="6">
        <v>5</v>
      </c>
      <c r="E104" s="7" t="s">
        <v>86</v>
      </c>
      <c r="F104" s="7" t="s">
        <v>96</v>
      </c>
      <c r="G104" s="7" t="s">
        <v>10</v>
      </c>
      <c r="H104" s="6">
        <v>780</v>
      </c>
      <c r="I104" s="6">
        <v>356.58</v>
      </c>
      <c r="J104" s="6" t="s">
        <v>121</v>
      </c>
      <c r="K104" s="6">
        <v>325</v>
      </c>
      <c r="L104" s="6">
        <f>94.19+7.5</f>
        <v>101.69</v>
      </c>
    </row>
    <row r="105" spans="1:12" ht="13.8" x14ac:dyDescent="0.3">
      <c r="A105" s="6">
        <f t="shared" si="1"/>
        <v>102</v>
      </c>
      <c r="B105" s="7" t="s">
        <v>5</v>
      </c>
      <c r="C105" s="7" t="s">
        <v>43</v>
      </c>
      <c r="D105" s="6">
        <v>10</v>
      </c>
      <c r="E105" s="7" t="s">
        <v>87</v>
      </c>
      <c r="F105" s="7" t="s">
        <v>95</v>
      </c>
      <c r="G105" s="7" t="s">
        <v>7</v>
      </c>
      <c r="H105" s="6">
        <v>1175</v>
      </c>
      <c r="I105" s="6">
        <f>217.2</f>
        <v>217.2</v>
      </c>
      <c r="J105" s="6" t="s">
        <v>121</v>
      </c>
      <c r="K105" s="6">
        <v>455</v>
      </c>
      <c r="L105" s="6">
        <v>173</v>
      </c>
    </row>
    <row r="106" spans="1:12" ht="13.8" x14ac:dyDescent="0.3">
      <c r="A106" s="6">
        <f t="shared" si="1"/>
        <v>103</v>
      </c>
      <c r="B106" s="7" t="s">
        <v>17</v>
      </c>
      <c r="C106" s="7" t="s">
        <v>43</v>
      </c>
      <c r="D106" s="6">
        <v>5</v>
      </c>
      <c r="E106" s="7" t="s">
        <v>88</v>
      </c>
      <c r="F106" s="7" t="s">
        <v>99</v>
      </c>
      <c r="G106" s="7" t="s">
        <v>7</v>
      </c>
      <c r="H106" s="6">
        <f>395.07+340</f>
        <v>735.06999999999994</v>
      </c>
      <c r="I106" s="6">
        <f>(355.24+439.94)</f>
        <v>795.18000000000006</v>
      </c>
      <c r="J106" s="6" t="s">
        <v>121</v>
      </c>
      <c r="K106" s="6">
        <v>250</v>
      </c>
      <c r="L106" s="6">
        <f>51.63+11.5</f>
        <v>63.13</v>
      </c>
    </row>
    <row r="107" spans="1:12" ht="13.8" x14ac:dyDescent="0.3">
      <c r="A107" s="6">
        <f t="shared" si="1"/>
        <v>104</v>
      </c>
      <c r="B107" s="7" t="s">
        <v>19</v>
      </c>
      <c r="C107" s="7" t="s">
        <v>43</v>
      </c>
      <c r="D107" s="6">
        <v>5</v>
      </c>
      <c r="E107" s="7" t="s">
        <v>14</v>
      </c>
      <c r="F107" s="7" t="s">
        <v>99</v>
      </c>
      <c r="G107" s="7" t="s">
        <v>7</v>
      </c>
      <c r="H107" s="6">
        <f>395.06+340</f>
        <v>735.06</v>
      </c>
      <c r="I107" s="6">
        <f>355.24+439.94</f>
        <v>795.18000000000006</v>
      </c>
      <c r="J107" s="6" t="s">
        <v>121</v>
      </c>
      <c r="K107" s="6">
        <v>250</v>
      </c>
      <c r="L107" s="6">
        <f>71.34+11.5</f>
        <v>82.84</v>
      </c>
    </row>
    <row r="108" spans="1:12" ht="13.8" x14ac:dyDescent="0.3">
      <c r="A108" s="6">
        <f t="shared" si="1"/>
        <v>105</v>
      </c>
      <c r="B108" s="7" t="s">
        <v>8</v>
      </c>
      <c r="C108" s="7" t="s">
        <v>43</v>
      </c>
      <c r="D108" s="6">
        <v>5</v>
      </c>
      <c r="E108" s="7" t="s">
        <v>88</v>
      </c>
      <c r="F108" s="7" t="s">
        <v>99</v>
      </c>
      <c r="G108" s="7" t="s">
        <v>7</v>
      </c>
      <c r="H108" s="6">
        <f>395.06+340</f>
        <v>735.06</v>
      </c>
      <c r="I108" s="6">
        <f>479.81+385.23</f>
        <v>865.04</v>
      </c>
      <c r="J108" s="6" t="s">
        <v>121</v>
      </c>
      <c r="K108" s="6">
        <v>250</v>
      </c>
      <c r="L108" s="6">
        <f>11.5+24.38</f>
        <v>35.879999999999995</v>
      </c>
    </row>
    <row r="109" spans="1:12" ht="13.8" x14ac:dyDescent="0.3">
      <c r="A109" s="6">
        <f t="shared" si="1"/>
        <v>106</v>
      </c>
      <c r="B109" s="7" t="s">
        <v>24</v>
      </c>
      <c r="C109" s="7" t="s">
        <v>43</v>
      </c>
      <c r="D109" s="6">
        <v>4</v>
      </c>
      <c r="E109" s="7" t="s">
        <v>89</v>
      </c>
      <c r="F109" s="7" t="s">
        <v>99</v>
      </c>
      <c r="G109" s="7" t="s">
        <v>7</v>
      </c>
      <c r="H109" s="6">
        <f>(340+175)</f>
        <v>515</v>
      </c>
      <c r="I109" s="6">
        <f>(433.51+595.19)</f>
        <v>1028.7</v>
      </c>
      <c r="J109" s="6" t="s">
        <v>121</v>
      </c>
      <c r="K109" s="6">
        <v>200</v>
      </c>
      <c r="L109" s="6">
        <f>144.45+9.2</f>
        <v>153.64999999999998</v>
      </c>
    </row>
    <row r="110" spans="1:12" ht="13.8" x14ac:dyDescent="0.3">
      <c r="A110" s="6">
        <f t="shared" si="1"/>
        <v>107</v>
      </c>
      <c r="B110" s="7" t="s">
        <v>21</v>
      </c>
      <c r="C110" s="7" t="s">
        <v>43</v>
      </c>
      <c r="D110" s="6">
        <v>5</v>
      </c>
      <c r="E110" s="7" t="s">
        <v>90</v>
      </c>
      <c r="F110" s="7" t="s">
        <v>99</v>
      </c>
      <c r="G110" s="7" t="s">
        <v>7</v>
      </c>
      <c r="H110" s="6">
        <v>760</v>
      </c>
      <c r="I110" s="6">
        <f>743.02</f>
        <v>743.02</v>
      </c>
      <c r="J110" s="6" t="s">
        <v>121</v>
      </c>
      <c r="K110" s="6">
        <v>300</v>
      </c>
      <c r="L110" s="6">
        <f>13.23+11.5</f>
        <v>24.73</v>
      </c>
    </row>
    <row r="111" spans="1:12" ht="13.8" x14ac:dyDescent="0.3">
      <c r="A111" s="6">
        <f t="shared" si="1"/>
        <v>108</v>
      </c>
      <c r="B111" s="7" t="s">
        <v>8</v>
      </c>
      <c r="C111" s="7" t="s">
        <v>43</v>
      </c>
      <c r="D111" s="6">
        <v>3</v>
      </c>
      <c r="E111" s="7" t="s">
        <v>74</v>
      </c>
      <c r="F111" s="7" t="s">
        <v>98</v>
      </c>
      <c r="G111" s="7" t="s">
        <v>31</v>
      </c>
      <c r="H111" s="6">
        <v>300</v>
      </c>
      <c r="I111" s="6">
        <f>316.65</f>
        <v>316.64999999999998</v>
      </c>
      <c r="J111" s="6" t="s">
        <v>121</v>
      </c>
      <c r="K111" s="6">
        <v>180</v>
      </c>
      <c r="L111" s="6">
        <f>4.5+27.62</f>
        <v>32.120000000000005</v>
      </c>
    </row>
    <row r="112" spans="1:12" ht="13.8" x14ac:dyDescent="0.3">
      <c r="A112" s="6">
        <f t="shared" si="1"/>
        <v>109</v>
      </c>
      <c r="B112" s="7" t="s">
        <v>5</v>
      </c>
      <c r="C112" s="7" t="s">
        <v>43</v>
      </c>
      <c r="D112" s="6">
        <v>1</v>
      </c>
      <c r="E112" s="7" t="s">
        <v>13</v>
      </c>
      <c r="F112" s="7" t="s">
        <v>95</v>
      </c>
      <c r="G112" s="7" t="s">
        <v>7</v>
      </c>
      <c r="H112" s="6"/>
      <c r="I112" s="6">
        <v>213.92</v>
      </c>
      <c r="J112" s="6" t="s">
        <v>121</v>
      </c>
      <c r="K112" s="6"/>
      <c r="L112" s="6"/>
    </row>
    <row r="113" spans="1:12" ht="13.8" x14ac:dyDescent="0.3">
      <c r="A113" s="6">
        <f t="shared" si="1"/>
        <v>110</v>
      </c>
      <c r="B113" s="7" t="s">
        <v>37</v>
      </c>
      <c r="C113" s="7" t="s">
        <v>43</v>
      </c>
      <c r="D113" s="6">
        <v>4</v>
      </c>
      <c r="E113" s="7" t="s">
        <v>91</v>
      </c>
      <c r="F113" s="7" t="s">
        <v>96</v>
      </c>
      <c r="G113" s="7" t="s">
        <v>108</v>
      </c>
      <c r="H113" s="6">
        <f>285</f>
        <v>285</v>
      </c>
      <c r="I113" s="6">
        <f>(199.36+166.69)</f>
        <v>366.05</v>
      </c>
      <c r="J113" s="6" t="s">
        <v>121</v>
      </c>
      <c r="K113" s="6">
        <v>140</v>
      </c>
      <c r="L113" s="6">
        <f>6+22.8</f>
        <v>28.8</v>
      </c>
    </row>
    <row r="114" spans="1:12" ht="13.8" x14ac:dyDescent="0.3">
      <c r="A114" s="6">
        <f t="shared" si="1"/>
        <v>111</v>
      </c>
      <c r="B114" s="7" t="s">
        <v>8</v>
      </c>
      <c r="C114" s="7" t="s">
        <v>43</v>
      </c>
      <c r="D114" s="6">
        <v>3</v>
      </c>
      <c r="E114" s="7" t="s">
        <v>74</v>
      </c>
      <c r="F114" s="7" t="s">
        <v>98</v>
      </c>
      <c r="G114" s="7" t="s">
        <v>31</v>
      </c>
      <c r="H114" s="6">
        <v>300</v>
      </c>
      <c r="I114" s="6">
        <f>316.65</f>
        <v>316.64999999999998</v>
      </c>
      <c r="J114" s="6" t="s">
        <v>121</v>
      </c>
      <c r="K114" s="6">
        <v>180</v>
      </c>
      <c r="L114" s="6">
        <f>4.5+27.62</f>
        <v>32.120000000000005</v>
      </c>
    </row>
    <row r="115" spans="1:12" ht="13.8" x14ac:dyDescent="0.3">
      <c r="A115" s="6">
        <f t="shared" si="1"/>
        <v>112</v>
      </c>
      <c r="B115" s="7" t="s">
        <v>8</v>
      </c>
      <c r="C115" s="7" t="s">
        <v>43</v>
      </c>
      <c r="D115" s="6">
        <v>6</v>
      </c>
      <c r="E115" s="7" t="s">
        <v>63</v>
      </c>
      <c r="F115" s="7" t="s">
        <v>94</v>
      </c>
      <c r="G115" s="7" t="s">
        <v>7</v>
      </c>
      <c r="H115" s="6">
        <f>405</f>
        <v>405</v>
      </c>
      <c r="I115" s="6">
        <f>915.94</f>
        <v>915.94</v>
      </c>
      <c r="J115" s="6" t="s">
        <v>121</v>
      </c>
      <c r="K115" s="6">
        <v>312</v>
      </c>
      <c r="L115" s="6">
        <v>13.8</v>
      </c>
    </row>
    <row r="116" spans="1:12" ht="13.8" x14ac:dyDescent="0.3">
      <c r="A116" s="6">
        <f t="shared" si="1"/>
        <v>113</v>
      </c>
      <c r="B116" s="7" t="s">
        <v>22</v>
      </c>
      <c r="C116" s="7" t="s">
        <v>43</v>
      </c>
      <c r="D116" s="6">
        <v>4</v>
      </c>
      <c r="E116" s="7" t="s">
        <v>92</v>
      </c>
      <c r="F116" s="7" t="s">
        <v>96</v>
      </c>
      <c r="G116" s="7" t="s">
        <v>32</v>
      </c>
      <c r="H116" s="6">
        <v>240</v>
      </c>
      <c r="I116" s="6">
        <f>143.32+218.06</f>
        <v>361.38</v>
      </c>
      <c r="J116" s="6" t="s">
        <v>121</v>
      </c>
      <c r="K116" s="6">
        <v>220</v>
      </c>
      <c r="L116" s="6">
        <f>38+3+6</f>
        <v>47</v>
      </c>
    </row>
    <row r="117" spans="1:12" ht="13.8" x14ac:dyDescent="0.3">
      <c r="A117" s="6">
        <f t="shared" si="1"/>
        <v>114</v>
      </c>
      <c r="B117" s="7" t="s">
        <v>28</v>
      </c>
      <c r="C117" s="7" t="s">
        <v>43</v>
      </c>
      <c r="D117" s="6">
        <v>3</v>
      </c>
      <c r="E117" s="7" t="s">
        <v>13</v>
      </c>
      <c r="F117" s="7" t="s">
        <v>95</v>
      </c>
      <c r="G117" s="7" t="s">
        <v>7</v>
      </c>
      <c r="H117" s="6">
        <v>202</v>
      </c>
      <c r="I117" s="6">
        <f>348.56</f>
        <v>348.56</v>
      </c>
      <c r="J117" s="6" t="s">
        <v>121</v>
      </c>
      <c r="K117" s="6"/>
      <c r="L117" s="6">
        <f>43.64</f>
        <v>43.64</v>
      </c>
    </row>
    <row r="118" spans="1:12" ht="13.8" x14ac:dyDescent="0.3">
      <c r="A118" s="6">
        <f t="shared" si="1"/>
        <v>115</v>
      </c>
      <c r="B118" s="7" t="s">
        <v>5</v>
      </c>
      <c r="C118" s="7" t="s">
        <v>43</v>
      </c>
      <c r="D118" s="6">
        <v>1</v>
      </c>
      <c r="E118" s="7" t="s">
        <v>45</v>
      </c>
      <c r="F118" s="7" t="s">
        <v>96</v>
      </c>
      <c r="G118" s="7" t="s">
        <v>7</v>
      </c>
      <c r="H118" s="6"/>
      <c r="I118" s="6"/>
      <c r="J118" s="6"/>
      <c r="K118" s="6"/>
      <c r="L118" s="6">
        <v>224.08</v>
      </c>
    </row>
    <row r="119" spans="1:12" ht="13.8" x14ac:dyDescent="0.3">
      <c r="A119" s="6">
        <f t="shared" si="1"/>
        <v>116</v>
      </c>
      <c r="B119" s="7" t="s">
        <v>8</v>
      </c>
      <c r="C119" s="7" t="s">
        <v>43</v>
      </c>
      <c r="D119" s="6">
        <v>1</v>
      </c>
      <c r="E119" s="7" t="s">
        <v>72</v>
      </c>
      <c r="F119" s="7" t="s">
        <v>95</v>
      </c>
      <c r="G119" s="7" t="s">
        <v>10</v>
      </c>
      <c r="H119" s="6"/>
      <c r="I119" s="6">
        <v>215.92</v>
      </c>
      <c r="J119" s="6" t="s">
        <v>121</v>
      </c>
      <c r="K119" s="6">
        <v>55</v>
      </c>
      <c r="L119" s="6">
        <f>53.08+1.5</f>
        <v>54.58</v>
      </c>
    </row>
    <row r="120" spans="1:12" ht="13.8" x14ac:dyDescent="0.3">
      <c r="A120" s="6">
        <f t="shared" si="1"/>
        <v>117</v>
      </c>
      <c r="B120" s="7" t="s">
        <v>20</v>
      </c>
      <c r="C120" s="7" t="s">
        <v>43</v>
      </c>
      <c r="D120" s="6">
        <v>3</v>
      </c>
      <c r="E120" s="7" t="s">
        <v>68</v>
      </c>
      <c r="F120" s="7" t="s">
        <v>96</v>
      </c>
      <c r="G120" s="7" t="s">
        <v>7</v>
      </c>
      <c r="H120" s="6">
        <v>378</v>
      </c>
      <c r="I120" s="6">
        <v>390.86</v>
      </c>
      <c r="J120" s="6" t="s">
        <v>121</v>
      </c>
      <c r="K120" s="6">
        <v>180</v>
      </c>
      <c r="L120" s="6">
        <f>66.8+4.5</f>
        <v>71.3</v>
      </c>
    </row>
    <row r="121" spans="1:12" ht="13.8" x14ac:dyDescent="0.3">
      <c r="A121" s="6">
        <f t="shared" si="1"/>
        <v>118</v>
      </c>
      <c r="B121" s="7" t="s">
        <v>8</v>
      </c>
      <c r="C121" s="7" t="s">
        <v>43</v>
      </c>
      <c r="D121" s="6">
        <v>6</v>
      </c>
      <c r="E121" s="7" t="s">
        <v>85</v>
      </c>
      <c r="F121" s="7" t="s">
        <v>94</v>
      </c>
      <c r="G121" s="7" t="s">
        <v>105</v>
      </c>
      <c r="H121" s="6">
        <v>1045</v>
      </c>
      <c r="I121" s="6">
        <f>327.96</f>
        <v>327.96</v>
      </c>
      <c r="J121" s="6" t="s">
        <v>121</v>
      </c>
      <c r="K121" s="6">
        <v>300</v>
      </c>
      <c r="L121" s="6">
        <f>95.98+4.5</f>
        <v>100.48</v>
      </c>
    </row>
    <row r="122" spans="1:12" ht="13.8" x14ac:dyDescent="0.3">
      <c r="A122" s="6">
        <f t="shared" si="1"/>
        <v>119</v>
      </c>
      <c r="B122" s="7" t="s">
        <v>8</v>
      </c>
      <c r="C122" s="7" t="s">
        <v>43</v>
      </c>
      <c r="D122" s="6">
        <v>9</v>
      </c>
      <c r="E122" s="7" t="s">
        <v>51</v>
      </c>
      <c r="F122" s="7" t="s">
        <v>98</v>
      </c>
      <c r="G122" s="7" t="s">
        <v>2</v>
      </c>
      <c r="H122" s="6">
        <v>1140</v>
      </c>
      <c r="I122" s="6">
        <v>2141.08</v>
      </c>
      <c r="J122" s="6" t="s">
        <v>121</v>
      </c>
      <c r="K122" s="6">
        <v>630</v>
      </c>
      <c r="L122" s="6">
        <f>75.01+6.9</f>
        <v>81.910000000000011</v>
      </c>
    </row>
    <row r="123" spans="1:12" ht="13.8" x14ac:dyDescent="0.3">
      <c r="A123" s="6">
        <f t="shared" si="1"/>
        <v>120</v>
      </c>
      <c r="B123" s="7" t="s">
        <v>4</v>
      </c>
      <c r="C123" s="7" t="s">
        <v>43</v>
      </c>
      <c r="D123" s="6">
        <v>9</v>
      </c>
      <c r="E123" s="7" t="s">
        <v>51</v>
      </c>
      <c r="F123" s="7" t="s">
        <v>98</v>
      </c>
      <c r="G123" s="7" t="s">
        <v>2</v>
      </c>
      <c r="H123" s="6">
        <f>1494</f>
        <v>1494</v>
      </c>
      <c r="I123" s="6">
        <f>1742.62</f>
        <v>1742.62</v>
      </c>
      <c r="J123" s="6" t="s">
        <v>121</v>
      </c>
      <c r="K123" s="6">
        <v>630</v>
      </c>
      <c r="L123" s="6">
        <f>6.9+60.17</f>
        <v>67.070000000000007</v>
      </c>
    </row>
    <row r="124" spans="1:12" ht="13.8" x14ac:dyDescent="0.3">
      <c r="A124" s="6">
        <f t="shared" si="1"/>
        <v>121</v>
      </c>
      <c r="B124" s="7" t="s">
        <v>8</v>
      </c>
      <c r="C124" s="7" t="s">
        <v>43</v>
      </c>
      <c r="D124" s="6">
        <v>9</v>
      </c>
      <c r="E124" s="7" t="s">
        <v>51</v>
      </c>
      <c r="F124" s="7" t="s">
        <v>98</v>
      </c>
      <c r="G124" s="7" t="s">
        <v>2</v>
      </c>
      <c r="H124" s="6">
        <v>1140</v>
      </c>
      <c r="I124" s="6">
        <v>1791.28</v>
      </c>
      <c r="J124" s="6" t="s">
        <v>121</v>
      </c>
      <c r="K124" s="6">
        <v>630</v>
      </c>
      <c r="L124" s="6">
        <f>6.9+50.87</f>
        <v>57.769999999999996</v>
      </c>
    </row>
    <row r="125" spans="1:12" ht="13.8" x14ac:dyDescent="0.3">
      <c r="A125" s="6">
        <f t="shared" si="1"/>
        <v>122</v>
      </c>
      <c r="B125" s="7" t="s">
        <v>5</v>
      </c>
      <c r="C125" s="7" t="s">
        <v>43</v>
      </c>
      <c r="D125" s="6">
        <v>7</v>
      </c>
      <c r="E125" s="7" t="s">
        <v>27</v>
      </c>
      <c r="F125" s="7" t="s">
        <v>100</v>
      </c>
      <c r="G125" s="7" t="s">
        <v>7</v>
      </c>
      <c r="H125" s="6">
        <f>(130+540+430)</f>
        <v>1100</v>
      </c>
      <c r="I125" s="6">
        <f>263.14</f>
        <v>263.14</v>
      </c>
      <c r="J125" s="6" t="s">
        <v>121</v>
      </c>
      <c r="K125" s="6">
        <v>135</v>
      </c>
      <c r="L125" s="6">
        <f>201.39+35+250+10.5</f>
        <v>496.89</v>
      </c>
    </row>
    <row r="126" spans="1:12" ht="13.8" x14ac:dyDescent="0.3">
      <c r="A126" s="6">
        <f t="shared" si="1"/>
        <v>123</v>
      </c>
      <c r="B126" s="7" t="s">
        <v>8</v>
      </c>
      <c r="C126" s="7" t="s">
        <v>44</v>
      </c>
      <c r="D126" s="6">
        <v>6</v>
      </c>
      <c r="E126" s="7" t="s">
        <v>38</v>
      </c>
      <c r="F126" s="7" t="s">
        <v>100</v>
      </c>
      <c r="G126" s="7" t="s">
        <v>105</v>
      </c>
      <c r="H126" s="6">
        <v>620</v>
      </c>
      <c r="I126" s="6">
        <v>852.81</v>
      </c>
      <c r="J126" s="6" t="s">
        <v>121</v>
      </c>
      <c r="K126" s="6">
        <v>300</v>
      </c>
      <c r="L126" s="6">
        <v>22.86</v>
      </c>
    </row>
    <row r="127" spans="1:12" ht="13.8" x14ac:dyDescent="0.3">
      <c r="A127" s="6">
        <f t="shared" si="1"/>
        <v>124</v>
      </c>
      <c r="B127" s="7" t="s">
        <v>29</v>
      </c>
      <c r="C127" s="7" t="s">
        <v>44</v>
      </c>
      <c r="D127" s="6">
        <v>1</v>
      </c>
      <c r="E127" s="7" t="s">
        <v>72</v>
      </c>
      <c r="F127" s="7" t="s">
        <v>95</v>
      </c>
      <c r="G127" s="7" t="s">
        <v>7</v>
      </c>
      <c r="H127" s="6"/>
      <c r="I127" s="6">
        <v>245.46</v>
      </c>
      <c r="J127" s="6" t="s">
        <v>121</v>
      </c>
      <c r="K127" s="6">
        <v>55</v>
      </c>
      <c r="L127" s="6">
        <v>18</v>
      </c>
    </row>
    <row r="128" spans="1:12" ht="13.8" x14ac:dyDescent="0.3">
      <c r="A128" s="6">
        <f t="shared" si="1"/>
        <v>125</v>
      </c>
      <c r="B128" s="7" t="s">
        <v>5</v>
      </c>
      <c r="C128" s="7" t="s">
        <v>44</v>
      </c>
      <c r="D128" s="6">
        <v>3</v>
      </c>
      <c r="E128" s="7" t="s">
        <v>93</v>
      </c>
      <c r="F128" s="7" t="s">
        <v>98</v>
      </c>
      <c r="G128" s="7" t="s">
        <v>7</v>
      </c>
      <c r="H128" s="6">
        <v>276.18</v>
      </c>
      <c r="I128" s="6"/>
      <c r="J128" s="6"/>
      <c r="K128" s="6"/>
      <c r="L128" s="6">
        <v>61.95</v>
      </c>
    </row>
    <row r="129" spans="1:12" ht="13.8" x14ac:dyDescent="0.3">
      <c r="A129" s="6">
        <f t="shared" si="1"/>
        <v>126</v>
      </c>
      <c r="B129" s="7" t="s">
        <v>8</v>
      </c>
      <c r="C129" s="7" t="s">
        <v>44</v>
      </c>
      <c r="D129" s="6">
        <v>3</v>
      </c>
      <c r="E129" s="7" t="s">
        <v>6</v>
      </c>
      <c r="F129" s="7" t="s">
        <v>96</v>
      </c>
      <c r="G129" s="7" t="s">
        <v>10</v>
      </c>
      <c r="H129" s="6">
        <f>190+250</f>
        <v>440</v>
      </c>
      <c r="I129" s="6">
        <f>333.37</f>
        <v>333.37</v>
      </c>
      <c r="J129" s="6" t="s">
        <v>121</v>
      </c>
      <c r="K129" s="6">
        <v>150</v>
      </c>
      <c r="L129" s="6">
        <v>142.57</v>
      </c>
    </row>
    <row r="130" spans="1:12" ht="13.8" x14ac:dyDescent="0.3">
      <c r="A130" s="6">
        <f t="shared" si="1"/>
        <v>127</v>
      </c>
      <c r="B130" s="7" t="s">
        <v>20</v>
      </c>
      <c r="C130" s="7" t="s">
        <v>44</v>
      </c>
      <c r="D130" s="6">
        <v>2</v>
      </c>
      <c r="E130" s="7" t="s">
        <v>49</v>
      </c>
      <c r="F130" s="7" t="s">
        <v>96</v>
      </c>
      <c r="G130" s="7" t="s">
        <v>7</v>
      </c>
      <c r="H130" s="6">
        <v>132</v>
      </c>
      <c r="I130" s="6">
        <v>327.52999999999997</v>
      </c>
      <c r="J130" s="6" t="s">
        <v>121</v>
      </c>
      <c r="K130" s="6">
        <v>100</v>
      </c>
      <c r="L130" s="6">
        <v>12.3</v>
      </c>
    </row>
    <row r="131" spans="1:12" ht="13.8" x14ac:dyDescent="0.3">
      <c r="A131" s="6">
        <f t="shared" si="1"/>
        <v>128</v>
      </c>
      <c r="B131" s="7" t="s">
        <v>5</v>
      </c>
      <c r="C131" s="7" t="s">
        <v>44</v>
      </c>
      <c r="D131" s="6">
        <v>3</v>
      </c>
      <c r="E131" s="7" t="s">
        <v>57</v>
      </c>
      <c r="F131" s="7" t="s">
        <v>95</v>
      </c>
      <c r="G131" s="7" t="s">
        <v>7</v>
      </c>
      <c r="H131" s="6">
        <v>230</v>
      </c>
      <c r="I131" s="6">
        <v>421.53</v>
      </c>
      <c r="J131" s="6" t="s">
        <v>121</v>
      </c>
      <c r="K131" s="6"/>
      <c r="L131" s="6">
        <v>66.459999999999994</v>
      </c>
    </row>
    <row r="132" spans="1:12" ht="13.8" x14ac:dyDescent="0.3">
      <c r="A132" s="6">
        <f t="shared" ref="A132:A133" si="2">ROW()-3</f>
        <v>129</v>
      </c>
      <c r="B132" s="7" t="s">
        <v>16</v>
      </c>
      <c r="C132" s="7" t="s">
        <v>44</v>
      </c>
      <c r="D132" s="6">
        <v>2</v>
      </c>
      <c r="E132" s="7" t="s">
        <v>53</v>
      </c>
      <c r="F132" s="7" t="s">
        <v>95</v>
      </c>
      <c r="G132" s="7" t="s">
        <v>7</v>
      </c>
      <c r="H132" s="6">
        <v>229</v>
      </c>
      <c r="I132" s="6">
        <v>334.82</v>
      </c>
      <c r="J132" s="6" t="s">
        <v>121</v>
      </c>
      <c r="K132" s="6">
        <v>120</v>
      </c>
      <c r="L132" s="6">
        <v>39.299999999999997</v>
      </c>
    </row>
    <row r="133" spans="1:12" ht="13.8" x14ac:dyDescent="0.3">
      <c r="A133" s="6">
        <f t="shared" si="2"/>
        <v>130</v>
      </c>
      <c r="B133" s="7" t="s">
        <v>5</v>
      </c>
      <c r="C133" s="7" t="s">
        <v>44</v>
      </c>
      <c r="D133" s="6">
        <v>1</v>
      </c>
      <c r="E133" s="7" t="s">
        <v>13</v>
      </c>
      <c r="F133" s="7" t="s">
        <v>95</v>
      </c>
      <c r="G133" s="7" t="s">
        <v>7</v>
      </c>
      <c r="H133" s="6"/>
      <c r="I133" s="6">
        <v>213.92</v>
      </c>
      <c r="J133" s="6" t="s">
        <v>121</v>
      </c>
      <c r="K133" s="6"/>
      <c r="L133" s="6">
        <v>25.2</v>
      </c>
    </row>
  </sheetData>
  <autoFilter ref="B3:G133" xr:uid="{00000000-0001-0000-0000-000000000000}"/>
  <mergeCells count="11">
    <mergeCell ref="A2:A3"/>
    <mergeCell ref="B2:B3"/>
    <mergeCell ref="B1:L1"/>
    <mergeCell ref="C2:C3"/>
    <mergeCell ref="D2:D3"/>
    <mergeCell ref="E2:E3"/>
    <mergeCell ref="K2:K3"/>
    <mergeCell ref="L2:L3"/>
    <mergeCell ref="H2:H3"/>
    <mergeCell ref="I2:I3"/>
    <mergeCell ref="J2:J3"/>
  </mergeCells>
  <phoneticPr fontId="3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Samanta Vesele</dc:creator>
  <cp:lastModifiedBy>Elīna Samanta Vesele</cp:lastModifiedBy>
  <dcterms:created xsi:type="dcterms:W3CDTF">2026-01-05T11:20:33Z</dcterms:created>
  <dcterms:modified xsi:type="dcterms:W3CDTF">2026-01-15T08:49:16Z</dcterms:modified>
</cp:coreProperties>
</file>